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920" yWindow="780" windowWidth="28180" windowHeight="18460" tabRatio="500" firstSheet="13" activeTab="18" autoFilterDateGrouping="1"/>
  </bookViews>
  <sheets>
    <sheet xmlns:r="http://schemas.openxmlformats.org/officeDocument/2006/relationships" name="Investor Dashboard" sheetId="1" state="visible" r:id="rId1"/>
    <sheet xmlns:r="http://schemas.openxmlformats.org/officeDocument/2006/relationships" name="Plan-GuV" sheetId="2" state="visible" r:id="rId2"/>
    <sheet xmlns:r="http://schemas.openxmlformats.org/officeDocument/2006/relationships" name="Plan-Bilanz" sheetId="3" state="visible" r:id="rId3"/>
    <sheet xmlns:r="http://schemas.openxmlformats.org/officeDocument/2006/relationships" name="Plan-Cashflow" sheetId="4" state="visible" r:id="rId4"/>
    <sheet xmlns:r="http://schemas.openxmlformats.org/officeDocument/2006/relationships" name="DCF-Bewertung" sheetId="5" state="visible" r:id="rId5"/>
    <sheet xmlns:r="http://schemas.openxmlformats.org/officeDocument/2006/relationships" name="Cap Table" sheetId="6" state="visible" r:id="rId6"/>
    <sheet xmlns:r="http://schemas.openxmlformats.org/officeDocument/2006/relationships" name="Annahmen" sheetId="7" state="visible" r:id="rId7"/>
    <sheet xmlns:r="http://schemas.openxmlformats.org/officeDocument/2006/relationships" name="CAPEX" sheetId="8" state="visible" r:id="rId8"/>
    <sheet xmlns:r="http://schemas.openxmlformats.org/officeDocument/2006/relationships" name="OPEX Fix" sheetId="9" state="visible" r:id="rId9"/>
    <sheet xmlns:r="http://schemas.openxmlformats.org/officeDocument/2006/relationships" name="OPEX Variabel" sheetId="10" state="visible" r:id="rId10"/>
    <sheet xmlns:r="http://schemas.openxmlformats.org/officeDocument/2006/relationships" name="B2B Preisreferenz" sheetId="11" state="visible" r:id="rId11"/>
    <sheet xmlns:r="http://schemas.openxmlformats.org/officeDocument/2006/relationships" name="B2C Preisreferenz" sheetId="12" state="visible" r:id="rId12"/>
    <sheet xmlns:r="http://schemas.openxmlformats.org/officeDocument/2006/relationships" name="Verpackung &amp; Versand" sheetId="13" state="visible" r:id="rId13"/>
    <sheet xmlns:r="http://schemas.openxmlformats.org/officeDocument/2006/relationships" name="Vollkosten" sheetId="14" state="visible" r:id="rId14"/>
    <sheet xmlns:r="http://schemas.openxmlformats.org/officeDocument/2006/relationships" name="DB &amp; Break-Even" sheetId="15" state="visible" r:id="rId15"/>
    <sheet xmlns:r="http://schemas.openxmlformats.org/officeDocument/2006/relationships" name="Umsatz" sheetId="16" state="visible" r:id="rId16"/>
    <sheet xmlns:r="http://schemas.openxmlformats.org/officeDocument/2006/relationships" name="Marketing &amp; Vertrieb" sheetId="17" state="visible" r:id="rId17"/>
    <sheet xmlns:r="http://schemas.openxmlformats.org/officeDocument/2006/relationships" name="Benchmark-Analyse" sheetId="18" state="visible" r:id="rId18"/>
    <sheet xmlns:r="http://schemas.openxmlformats.org/officeDocument/2006/relationships" name="Modellsteuerung" sheetId="19" state="visible" r:id="rId19"/>
  </sheets>
  <definedNames>
    <definedName name="_xlnm.Print_Area" localSheetId="6">'Annahmen'!$A$1:$E$65</definedName>
    <definedName name="_xlnm.Print_Area" localSheetId="7">'CAPEX'!$A$1:$G$35</definedName>
  </definedNames>
  <calcPr calcId="191029" fullCalcOnLoad="1" iterateDelta="0.0001"/>
</workbook>
</file>

<file path=xl/styles.xml><?xml version="1.0" encoding="utf-8"?>
<styleSheet xmlns="http://schemas.openxmlformats.org/spreadsheetml/2006/main">
  <numFmts count="23">
    <numFmt numFmtId="164" formatCode="\€#,##0"/>
    <numFmt numFmtId="165" formatCode="0.0\x"/>
    <numFmt numFmtId="166" formatCode="0.0%"/>
    <numFmt numFmtId="167" formatCode="0.000%"/>
    <numFmt numFmtId="168" formatCode="0.0000"/>
    <numFmt numFmtId="169" formatCode="#,##0;\(#,##0\);\-"/>
    <numFmt numFmtId="170" formatCode="#,##0&quot; kWh&quot;"/>
    <numFmt numFmtId="171" formatCode="#,##0.00&quot; €&quot;;\(#,##0.00&quot; €)&quot;;\-"/>
    <numFmt numFmtId="172" formatCode="#,##0&quot; €&quot;;\(#,##0&quot; €)&quot;;\-"/>
    <numFmt numFmtId="173" formatCode="0&quot; Jahre&quot;"/>
    <numFmt numFmtId="174" formatCode="0.000"/>
    <numFmt numFmtId="175" formatCode="#,##0.000"/>
    <numFmt numFmtId="176" formatCode="0.0"/>
    <numFmt numFmtId="177" formatCode="#,##0.00&quot; Jahre&quot;"/>
    <numFmt numFmtId="178" formatCode="#,##0.00&quot; €/kg&quot;"/>
    <numFmt numFmtId="179" formatCode="#,##0&quot; L&quot;"/>
    <numFmt numFmtId="180" formatCode="#,##0&quot; L/Tag&quot;"/>
    <numFmt numFmtId="181" formatCode="#,##0&quot; L/Jahr&quot;"/>
    <numFmt numFmtId="182" formatCode="#,##0.00&quot; L/kg&quot;"/>
    <numFmt numFmtId="183" formatCode="#,##0&quot; kg&quot;"/>
    <numFmt numFmtId="184" formatCode="#,##0.0&quot; Monate&quot;"/>
    <numFmt numFmtId="185" formatCode="#,##0&quot; €&quot;"/>
    <numFmt numFmtId="186" formatCode="#,##0;-#,##0;&quot;-&quot;"/>
  </numFmts>
  <fonts count="60">
    <font>
      <name val="Calibri"/>
      <charset val="1"/>
      <family val="2"/>
      <color theme="1"/>
      <sz val="11"/>
    </font>
    <font>
      <name val="Arial"/>
      <charset val="1"/>
      <family val="2"/>
      <b val="1"/>
      <color rgb="FF1F4E79"/>
      <sz val="18"/>
    </font>
    <font>
      <name val="Arial"/>
      <charset val="1"/>
      <family val="2"/>
      <color rgb="FF2E75B6"/>
      <sz val="12"/>
    </font>
    <font>
      <name val="Arial"/>
      <charset val="1"/>
      <family val="2"/>
      <i val="1"/>
      <color rgb="FF666666"/>
      <sz val="10"/>
    </font>
    <font>
      <name val="Arial"/>
      <charset val="1"/>
      <family val="2"/>
      <b val="1"/>
      <color rgb="FF1F4E79"/>
      <sz val="12"/>
    </font>
    <font>
      <name val="Arial"/>
      <charset val="1"/>
      <family val="2"/>
      <b val="1"/>
      <color rgb="FF1F4E79"/>
      <sz val="11"/>
    </font>
    <font>
      <name val="Arial"/>
      <charset val="1"/>
      <family val="2"/>
      <sz val="10"/>
    </font>
    <font>
      <name val="Cambria"/>
      <family val="1"/>
      <color rgb="FF008000"/>
      <sz val="10"/>
    </font>
    <font>
      <name val="Cambria"/>
      <family val="1"/>
      <sz val="10"/>
    </font>
    <font>
      <name val="Cambria"/>
      <family val="1"/>
      <color rgb="FF808080"/>
      <sz val="9"/>
    </font>
    <font>
      <name val="Arial"/>
      <charset val="1"/>
      <family val="2"/>
      <b val="1"/>
      <color rgb="FFFFFFFF"/>
      <sz val="9"/>
    </font>
    <font>
      <name val="Arial"/>
      <charset val="1"/>
      <family val="2"/>
      <b val="1"/>
      <sz val="10"/>
    </font>
    <font>
      <name val="Arial"/>
      <charset val="1"/>
      <family val="2"/>
      <b val="1"/>
      <color rgb="FF1F4E79"/>
      <sz val="14"/>
    </font>
    <font>
      <name val="Arial"/>
      <charset val="1"/>
      <family val="2"/>
      <b val="1"/>
      <color rgb="FF008000"/>
      <sz val="10"/>
    </font>
    <font>
      <name val="Arial"/>
      <charset val="1"/>
      <family val="2"/>
      <b val="1"/>
      <color rgb="FFFF0000"/>
      <sz val="10"/>
    </font>
    <font>
      <name val="Cambria"/>
      <family val="1"/>
      <b val="1"/>
      <sz val="10"/>
    </font>
    <font>
      <name val="Cambria"/>
      <family val="1"/>
      <color rgb="FF0000FF"/>
      <sz val="10"/>
    </font>
    <font>
      <name val="Cambria"/>
      <family val="1"/>
      <b val="1"/>
      <sz val="11"/>
    </font>
    <font>
      <name val="Cambria"/>
      <family val="1"/>
      <color rgb="FF808080"/>
      <sz val="8"/>
    </font>
    <font>
      <name val="Arial"/>
      <charset val="1"/>
      <family val="2"/>
      <color rgb="FF0000FF"/>
      <sz val="10"/>
    </font>
    <font>
      <name val="Cambria"/>
      <family val="1"/>
      <color rgb="FF999999"/>
      <sz val="9"/>
    </font>
    <font>
      <name val="Arial"/>
      <charset val="1"/>
      <family val="2"/>
      <b val="1"/>
      <color rgb="FF000000"/>
      <sz val="16"/>
    </font>
    <font>
      <name val="Arial"/>
      <charset val="1"/>
      <family val="2"/>
      <i val="1"/>
      <color rgb="FF666666"/>
      <sz val="11"/>
    </font>
    <font>
      <name val="Arial"/>
      <charset val="1"/>
      <family val="2"/>
      <b val="1"/>
      <color rgb="FF000000"/>
      <sz val="12"/>
    </font>
    <font>
      <name val="Arial"/>
      <charset val="1"/>
      <family val="2"/>
      <b val="1"/>
      <color rgb="FFFFFFFF"/>
      <sz val="12"/>
    </font>
    <font>
      <name val="Arial"/>
      <charset val="1"/>
      <family val="2"/>
      <color rgb="FF000000"/>
      <sz val="11"/>
    </font>
    <font>
      <name val="Arial"/>
      <charset val="1"/>
      <family val="2"/>
      <color rgb="FF0000FF"/>
      <sz val="11"/>
    </font>
    <font>
      <name val="Calibri"/>
      <charset val="1"/>
      <family val="2"/>
      <color rgb="FF000000"/>
      <sz val="11"/>
    </font>
    <font>
      <name val="Calibri"/>
      <charset val="1"/>
      <family val="2"/>
      <color rgb="FF006100"/>
      <sz val="11"/>
    </font>
    <font>
      <name val="Calibri"/>
      <charset val="1"/>
      <family val="2"/>
      <color rgb="FF0000CC"/>
      <sz val="11"/>
    </font>
    <font>
      <name val="Arial"/>
      <charset val="1"/>
      <family val="2"/>
      <b val="1"/>
      <color rgb="FF000000"/>
      <sz val="11"/>
    </font>
    <font>
      <name val="Calibri"/>
      <charset val="1"/>
      <family val="2"/>
      <b val="1"/>
      <color rgb="FF1F4E79"/>
      <sz val="12"/>
    </font>
    <font>
      <name val="Calibri"/>
      <charset val="1"/>
      <family val="2"/>
      <b val="1"/>
      <color rgb="FFFFFFFF"/>
      <sz val="11"/>
    </font>
    <font>
      <name val="Calibri"/>
      <charset val="1"/>
      <family val="2"/>
      <i val="1"/>
      <color rgb="FF666666"/>
      <sz val="10"/>
    </font>
    <font>
      <name val="Arial"/>
      <charset val="1"/>
      <family val="2"/>
      <color rgb="FF000000"/>
      <sz val="10"/>
    </font>
    <font>
      <name val="Arial"/>
      <charset val="1"/>
      <family val="2"/>
      <b val="1"/>
      <color rgb="FFFFFFFF"/>
      <sz val="11"/>
    </font>
    <font>
      <name val="Arial"/>
      <charset val="1"/>
      <family val="2"/>
      <b val="1"/>
      <color rgb="FF000000"/>
      <sz val="10"/>
    </font>
    <font>
      <name val="Arial"/>
      <charset val="1"/>
      <family val="2"/>
      <color rgb="FF008000"/>
      <sz val="10"/>
    </font>
    <font>
      <name val="Arial"/>
      <charset val="1"/>
      <family val="2"/>
      <color rgb="FF008000"/>
      <sz val="11"/>
    </font>
    <font>
      <name val="Arial"/>
      <charset val="1"/>
      <family val="2"/>
      <b val="1"/>
      <color rgb="FF008000"/>
      <sz val="11"/>
    </font>
    <font>
      <name val="Arial"/>
      <charset val="1"/>
      <family val="2"/>
      <b val="1"/>
      <i val="1"/>
      <color rgb="FFC00000"/>
      <sz val="10"/>
    </font>
    <font>
      <name val="Arial"/>
      <charset val="1"/>
      <family val="2"/>
      <b val="1"/>
      <color rgb="FF0000FF"/>
      <sz val="11"/>
    </font>
    <font>
      <name val="Calibri"/>
      <charset val="1"/>
      <family val="2"/>
      <b val="1"/>
      <sz val="14"/>
    </font>
    <font>
      <name val="Calibri"/>
      <charset val="1"/>
      <family val="2"/>
      <b val="1"/>
      <sz val="11"/>
    </font>
    <font>
      <name val="Arial"/>
      <charset val="1"/>
      <family val="2"/>
      <b val="1"/>
      <sz val="14"/>
    </font>
    <font>
      <name val="Arial"/>
      <charset val="1"/>
      <family val="2"/>
      <i val="1"/>
      <color rgb="FF666666"/>
      <sz val="9"/>
    </font>
    <font>
      <name val="Arial"/>
      <charset val="1"/>
      <family val="2"/>
      <b val="1"/>
      <sz val="11"/>
    </font>
    <font>
      <name val="Arial"/>
      <charset val="1"/>
      <family val="2"/>
      <b val="1"/>
      <color rgb="FFFFFFFF"/>
      <sz val="10"/>
    </font>
    <font>
      <name val="Cambria"/>
      <charset val="1"/>
      <family val="1"/>
      <color rgb="FF0000FF"/>
      <sz val="10"/>
    </font>
    <font>
      <name val="Arial"/>
      <charset val="1"/>
      <family val="2"/>
      <b val="1"/>
      <color rgb="FFFF8C00"/>
      <sz val="10"/>
    </font>
    <font>
      <name val="Arial"/>
      <charset val="1"/>
      <family val="2"/>
      <b val="1"/>
      <color rgb="FFCC0000"/>
      <sz val="10"/>
    </font>
    <font>
      <name val="Cambria"/>
      <family val="1"/>
      <i val="1"/>
      <sz val="9"/>
    </font>
    <font>
      <name val="Cambria"/>
      <family val="1"/>
      <b val="1"/>
      <sz val="9"/>
    </font>
    <font>
      <name val="Cambria"/>
      <family val="1"/>
      <sz val="9"/>
    </font>
    <font>
      <name val="Cambria"/>
      <family val="1"/>
      <color rgb="FF008000"/>
      <sz val="9"/>
    </font>
    <font>
      <name val="Cambria"/>
      <family val="1"/>
      <color rgb="FF0000FF"/>
      <sz val="9"/>
    </font>
    <font>
      <name val="Calibri"/>
      <b val="1"/>
      <color rgb="00FFFFFF"/>
      <sz val="12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</fonts>
  <fills count="23">
    <fill>
      <patternFill/>
    </fill>
    <fill>
      <patternFill patternType="gray125"/>
    </fill>
    <fill>
      <patternFill patternType="solid">
        <fgColor rgb="FFE8E8E8"/>
        <bgColor rgb="FFDCE6F1"/>
      </patternFill>
    </fill>
    <fill>
      <patternFill patternType="solid">
        <fgColor rgb="FF1F4E79"/>
        <bgColor rgb="FF2F5496"/>
      </patternFill>
    </fill>
    <fill>
      <patternFill patternType="solid">
        <fgColor rgb="FF2E75B6"/>
        <bgColor rgb="FF4472C4"/>
      </patternFill>
    </fill>
    <fill>
      <patternFill patternType="solid">
        <fgColor rgb="FF4472C4"/>
        <bgColor rgb="FF2E75B6"/>
      </patternFill>
    </fill>
    <fill>
      <patternFill patternType="solid">
        <fgColor rgb="FF5B9BD5"/>
        <bgColor rgb="FF4472C4"/>
      </patternFill>
    </fill>
    <fill>
      <patternFill patternType="solid">
        <fgColor rgb="FFD6E4F0"/>
        <bgColor rgb="FFD9E1F2"/>
      </patternFill>
    </fill>
    <fill>
      <patternFill patternType="solid">
        <fgColor rgb="FFE2EFDA"/>
        <bgColor rgb="FFE8F5E9"/>
      </patternFill>
    </fill>
    <fill>
      <patternFill patternType="solid">
        <fgColor rgb="FF2F5496"/>
        <bgColor rgb="FF1F4E79"/>
      </patternFill>
    </fill>
    <fill>
      <patternFill patternType="solid">
        <fgColor rgb="FFF2F2F2"/>
        <bgColor rgb="FFE8F5E9"/>
      </patternFill>
    </fill>
    <fill>
      <patternFill patternType="solid">
        <fgColor rgb="FFFFFF00"/>
        <bgColor rgb="FFFFF2CC"/>
      </patternFill>
    </fill>
    <fill>
      <patternFill patternType="solid">
        <fgColor rgb="FFDDEBF7"/>
        <bgColor rgb="FFDCE6F1"/>
      </patternFill>
    </fill>
    <fill>
      <patternFill patternType="solid">
        <fgColor rgb="FFFFF2CC"/>
        <bgColor rgb="FFFFF3E0"/>
      </patternFill>
    </fill>
    <fill>
      <patternFill patternType="solid">
        <fgColor rgb="FFDCE6F1"/>
        <bgColor rgb="FFD6E4F0"/>
      </patternFill>
    </fill>
    <fill>
      <patternFill patternType="solid">
        <fgColor rgb="FFD9E1F2"/>
        <bgColor rgb="FFD6E4F0"/>
      </patternFill>
    </fill>
    <fill>
      <patternFill patternType="solid">
        <fgColor rgb="FFFCE4EC"/>
        <bgColor rgb="FFFDE8E8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FDE8E8"/>
        <bgColor rgb="FFFCE4EC"/>
      </patternFill>
    </fill>
    <fill>
      <patternFill patternType="solid">
        <fgColor rgb="000A1628"/>
        <bgColor rgb="000A1628"/>
      </patternFill>
    </fill>
    <fill>
      <patternFill patternType="solid">
        <fgColor rgb="0000B4A0"/>
        <bgColor rgb="0000B4A0"/>
      </patternFill>
    </fill>
    <fill>
      <patternFill patternType="solid">
        <fgColor rgb="00F5F5F5"/>
        <bgColor rgb="00F5F5F5"/>
      </patternFill>
    </fill>
  </fills>
  <borders count="1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27">
    <xf numFmtId="0" fontId="0" fillId="0" borderId="0" pivotButton="0" quotePrefix="0" xfId="0"/>
    <xf numFmtId="0" fontId="45" fillId="0" borderId="3" applyAlignment="1" pivotButton="0" quotePrefix="0" xfId="0">
      <alignment horizontal="left" vertical="center" wrapText="1"/>
    </xf>
    <xf numFmtId="0" fontId="3" fillId="0" borderId="0" pivotButton="0" quotePrefix="0" xfId="0"/>
    <xf numFmtId="0" fontId="40" fillId="0" borderId="0" pivotButton="0" quotePrefix="0" xfId="0"/>
    <xf numFmtId="0" fontId="31" fillId="8" borderId="0" pivotButton="0" quotePrefix="0" xfId="0"/>
    <xf numFmtId="0" fontId="23" fillId="7" borderId="0" pivotButton="0" quotePrefix="0" xfId="0"/>
    <xf numFmtId="0" fontId="22" fillId="0" borderId="0" pivotButton="0" quotePrefix="0" xfId="0"/>
    <xf numFmtId="0" fontId="21" fillId="0" borderId="0" pivotButton="0" quotePrefix="0" xfId="0"/>
    <xf numFmtId="0" fontId="6" fillId="0" borderId="2" applyAlignment="1" pivotButton="0" quotePrefix="0" xfId="0">
      <alignment horizontal="left" vertical="center"/>
    </xf>
    <xf numFmtId="0" fontId="11" fillId="0" borderId="3" applyAlignment="1" pivotButton="0" quotePrefix="0" xfId="0">
      <alignment horizontal="left" vertical="center"/>
    </xf>
    <xf numFmtId="0" fontId="6" fillId="0" borderId="3" applyAlignment="1" pivotButton="0" quotePrefix="0" xfId="0">
      <alignment horizontal="left" vertical="center"/>
    </xf>
    <xf numFmtId="0" fontId="46" fillId="7" borderId="2" applyAlignment="1" pivotButton="0" quotePrefix="0" xfId="0">
      <alignment horizontal="left" vertical="center"/>
    </xf>
    <xf numFmtId="0" fontId="45" fillId="0" borderId="3" applyAlignment="1" pivotButton="0" quotePrefix="0" xfId="0">
      <alignment horizontal="left" vertical="center"/>
    </xf>
    <xf numFmtId="0" fontId="44" fillId="0" borderId="3" applyAlignment="1" pivotButton="0" quotePrefix="0" xfId="0">
      <alignment horizontal="left" vertical="center"/>
    </xf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0" fillId="2" borderId="0" pivotButton="0" quotePrefix="0" xfId="0"/>
    <xf numFmtId="0" fontId="6" fillId="0" borderId="1" pivotButton="0" quotePrefix="0" xfId="0"/>
    <xf numFmtId="164" fontId="7" fillId="0" borderId="1" pivotButton="0" quotePrefix="0" xfId="0"/>
    <xf numFmtId="0" fontId="8" fillId="0" borderId="0" pivotButton="0" quotePrefix="0" xfId="0"/>
    <xf numFmtId="164" fontId="7" fillId="0" borderId="0" pivotButton="0" quotePrefix="0" xfId="0"/>
    <xf numFmtId="165" fontId="7" fillId="0" borderId="1" pivotButton="0" quotePrefix="0" xfId="0"/>
    <xf numFmtId="0" fontId="8" fillId="0" borderId="1" pivotButton="0" quotePrefix="0" xfId="0"/>
    <xf numFmtId="166" fontId="7" fillId="0" borderId="1" pivotButton="0" quotePrefix="0" xfId="0"/>
    <xf numFmtId="166" fontId="8" fillId="0" borderId="1" pivotButton="0" quotePrefix="0" xfId="0"/>
    <xf numFmtId="0" fontId="9" fillId="0" borderId="0" pivotButton="0" quotePrefix="0" xfId="0"/>
    <xf numFmtId="0" fontId="5" fillId="0" borderId="0" pivotButton="0" quotePrefix="0" xfId="0"/>
    <xf numFmtId="0" fontId="10" fillId="3" borderId="0" pivotButton="0" quotePrefix="0" xfId="0"/>
    <xf numFmtId="0" fontId="11" fillId="0" borderId="1" pivotButton="0" quotePrefix="0" xfId="0"/>
    <xf numFmtId="0" fontId="12" fillId="0" borderId="0" pivotButton="0" quotePrefix="0" xfId="0"/>
    <xf numFmtId="0" fontId="11" fillId="0" borderId="0" pivotButton="0" quotePrefix="0" xfId="0"/>
    <xf numFmtId="0" fontId="10" fillId="4" borderId="0" applyAlignment="1" pivotButton="0" quotePrefix="0" xfId="0">
      <alignment horizontal="center"/>
    </xf>
    <xf numFmtId="0" fontId="10" fillId="5" borderId="0" applyAlignment="1" pivotButton="0" quotePrefix="0" xfId="0">
      <alignment horizontal="center"/>
    </xf>
    <xf numFmtId="0" fontId="10" fillId="6" borderId="0" applyAlignment="1" pivotButton="0" quotePrefix="0" xfId="0">
      <alignment horizontal="center"/>
    </xf>
    <xf numFmtId="0" fontId="0" fillId="3" borderId="0" pivotButton="0" quotePrefix="0" xfId="0"/>
    <xf numFmtId="0" fontId="10" fillId="3" borderId="0" applyAlignment="1" pivotButton="0" quotePrefix="0" xfId="0">
      <alignment horizontal="center"/>
    </xf>
    <xf numFmtId="0" fontId="6" fillId="0" borderId="0" pivotButton="0" quotePrefix="0" xfId="0"/>
    <xf numFmtId="3" fontId="7" fillId="0" borderId="1" applyAlignment="1" pivotButton="0" quotePrefix="0" xfId="0">
      <alignment horizontal="right"/>
    </xf>
    <xf numFmtId="3" fontId="8" fillId="7" borderId="1" pivotButton="0" quotePrefix="0" xfId="0"/>
    <xf numFmtId="0" fontId="11" fillId="7" borderId="0" pivotButton="0" quotePrefix="0" xfId="0"/>
    <xf numFmtId="0" fontId="0" fillId="7" borderId="0" pivotButton="0" quotePrefix="0" xfId="0"/>
    <xf numFmtId="3" fontId="8" fillId="7" borderId="1" applyAlignment="1" pivotButton="0" quotePrefix="0" xfId="0">
      <alignment horizontal="right"/>
    </xf>
    <xf numFmtId="0" fontId="13" fillId="8" borderId="0" pivotButton="0" quotePrefix="0" xfId="0"/>
    <xf numFmtId="0" fontId="0" fillId="8" borderId="0" pivotButton="0" quotePrefix="0" xfId="0"/>
    <xf numFmtId="3" fontId="8" fillId="8" borderId="1" applyAlignment="1" pivotButton="0" quotePrefix="0" xfId="0">
      <alignment horizontal="right"/>
    </xf>
    <xf numFmtId="166" fontId="8" fillId="7" borderId="0" pivotButton="0" quotePrefix="0" xfId="0"/>
    <xf numFmtId="3" fontId="8" fillId="0" borderId="1" applyAlignment="1" pivotButton="0" quotePrefix="0" xfId="0">
      <alignment horizontal="right"/>
    </xf>
    <xf numFmtId="0" fontId="5" fillId="7" borderId="0" pivotButton="0" quotePrefix="0" xfId="0"/>
    <xf numFmtId="0" fontId="14" fillId="0" borderId="0" pivotButton="0" quotePrefix="0" xfId="0"/>
    <xf numFmtId="0" fontId="15" fillId="0" borderId="0" pivotButton="0" quotePrefix="0" xfId="0"/>
    <xf numFmtId="3" fontId="8" fillId="7" borderId="0" pivotButton="0" quotePrefix="0" xfId="0"/>
    <xf numFmtId="3" fontId="8" fillId="0" borderId="0" pivotButton="0" quotePrefix="0" xfId="0"/>
    <xf numFmtId="166" fontId="8" fillId="0" borderId="0" pivotButton="0" quotePrefix="0" xfId="0"/>
    <xf numFmtId="166" fontId="16" fillId="0" borderId="1" pivotButton="0" quotePrefix="0" xfId="0"/>
    <xf numFmtId="3" fontId="7" fillId="0" borderId="1" pivotButton="0" quotePrefix="0" xfId="0"/>
    <xf numFmtId="167" fontId="7" fillId="0" borderId="1" pivotButton="0" quotePrefix="0" xfId="0"/>
    <xf numFmtId="166" fontId="7" fillId="0" borderId="0" pivotButton="0" quotePrefix="0" xfId="0"/>
    <xf numFmtId="0" fontId="15" fillId="3" borderId="0" applyAlignment="1" pivotButton="0" quotePrefix="0" xfId="0">
      <alignment horizontal="center"/>
    </xf>
    <xf numFmtId="3" fontId="8" fillId="0" borderId="1" pivotButton="0" quotePrefix="0" xfId="0"/>
    <xf numFmtId="168" fontId="8" fillId="0" borderId="1" pivotButton="0" quotePrefix="0" xfId="0"/>
    <xf numFmtId="0" fontId="17" fillId="0" borderId="0" pivotButton="0" quotePrefix="0" xfId="0"/>
    <xf numFmtId="0" fontId="17" fillId="0" borderId="1" pivotButton="0" quotePrefix="0" xfId="0"/>
    <xf numFmtId="3" fontId="15" fillId="7" borderId="1" pivotButton="0" quotePrefix="0" xfId="0"/>
    <xf numFmtId="0" fontId="18" fillId="0" borderId="0" pivotButton="0" quotePrefix="0" xfId="0"/>
    <xf numFmtId="165" fontId="8" fillId="0" borderId="1" pivotButton="0" quotePrefix="0" xfId="0"/>
    <xf numFmtId="165" fontId="8" fillId="7" borderId="0" pivotButton="0" quotePrefix="0" xfId="0"/>
    <xf numFmtId="166" fontId="19" fillId="0" borderId="1" pivotButton="0" quotePrefix="0" xfId="0"/>
    <xf numFmtId="169" fontId="19" fillId="0" borderId="1" pivotButton="0" quotePrefix="0" xfId="0"/>
    <xf numFmtId="166" fontId="0" fillId="0" borderId="1" pivotButton="0" quotePrefix="0" xfId="0"/>
    <xf numFmtId="0" fontId="11" fillId="7" borderId="1" pivotButton="0" quotePrefix="0" xfId="0"/>
    <xf numFmtId="166" fontId="19" fillId="7" borderId="1" pivotButton="0" quotePrefix="0" xfId="0"/>
    <xf numFmtId="169" fontId="19" fillId="7" borderId="1" pivotButton="0" quotePrefix="0" xfId="0"/>
    <xf numFmtId="166" fontId="0" fillId="7" borderId="1" pivotButton="0" quotePrefix="0" xfId="0"/>
    <xf numFmtId="166" fontId="8" fillId="7" borderId="1" pivotButton="0" quotePrefix="0" xfId="0"/>
    <xf numFmtId="0" fontId="6" fillId="7" borderId="1" pivotButton="0" quotePrefix="0" xfId="0"/>
    <xf numFmtId="0" fontId="20" fillId="0" borderId="0" pivotButton="0" quotePrefix="0" xfId="0"/>
    <xf numFmtId="169" fontId="8" fillId="0" borderId="1" pivotButton="0" quotePrefix="0" xfId="0"/>
    <xf numFmtId="0" fontId="15" fillId="7" borderId="1" pivotButton="0" quotePrefix="0" xfId="0"/>
    <xf numFmtId="0" fontId="24" fillId="9" borderId="2" applyAlignment="1" pivotButton="0" quotePrefix="0" xfId="0">
      <alignment horizontal="center" vertical="center"/>
    </xf>
    <xf numFmtId="0" fontId="25" fillId="10" borderId="2" applyAlignment="1" pivotButton="0" quotePrefix="0" xfId="0">
      <alignment horizontal="left" vertical="center"/>
    </xf>
    <xf numFmtId="169" fontId="26" fillId="11" borderId="2" applyAlignment="1" pivotButton="0" quotePrefix="0" xfId="0">
      <alignment horizontal="right" vertical="center"/>
    </xf>
    <xf numFmtId="0" fontId="25" fillId="0" borderId="2" applyAlignment="1" pivotButton="0" quotePrefix="0" xfId="0">
      <alignment horizontal="center" vertical="center"/>
    </xf>
    <xf numFmtId="0" fontId="3" fillId="0" borderId="2" applyAlignment="1" pivotButton="0" quotePrefix="0" xfId="0">
      <alignment horizontal="left" vertical="center"/>
    </xf>
    <xf numFmtId="0" fontId="25" fillId="0" borderId="2" applyAlignment="1" pivotButton="0" quotePrefix="0" xfId="0">
      <alignment horizontal="left" vertical="center"/>
    </xf>
    <xf numFmtId="169" fontId="25" fillId="0" borderId="2" applyAlignment="1" pivotButton="0" quotePrefix="0" xfId="0">
      <alignment horizontal="right" vertical="center"/>
    </xf>
    <xf numFmtId="3" fontId="27" fillId="8" borderId="2" applyAlignment="1" pivotButton="0" quotePrefix="0" xfId="0">
      <alignment horizontal="right" vertical="center"/>
    </xf>
    <xf numFmtId="0" fontId="27" fillId="8" borderId="2" applyAlignment="1" pivotButton="0" quotePrefix="0" xfId="0">
      <alignment horizontal="left" vertical="center"/>
    </xf>
    <xf numFmtId="166" fontId="26" fillId="11" borderId="2" applyAlignment="1" pivotButton="0" quotePrefix="0" xfId="0">
      <alignment horizontal="right" vertical="center"/>
    </xf>
    <xf numFmtId="2" fontId="28" fillId="8" borderId="2" applyAlignment="1" pivotButton="0" quotePrefix="0" xfId="0">
      <alignment horizontal="right" vertical="center"/>
    </xf>
    <xf numFmtId="0" fontId="27" fillId="8" borderId="0" pivotButton="0" quotePrefix="0" xfId="0"/>
    <xf numFmtId="0" fontId="29" fillId="12" borderId="0" pivotButton="0" quotePrefix="0" xfId="0"/>
    <xf numFmtId="170" fontId="26" fillId="11" borderId="2" applyAlignment="1" pivotButton="0" quotePrefix="0" xfId="0">
      <alignment horizontal="right" vertical="center"/>
    </xf>
    <xf numFmtId="171" fontId="26" fillId="11" borderId="2" applyAlignment="1" pivotButton="0" quotePrefix="0" xfId="0">
      <alignment horizontal="right" vertical="center"/>
    </xf>
    <xf numFmtId="171" fontId="25" fillId="0" borderId="2" applyAlignment="1" pivotButton="0" quotePrefix="0" xfId="0">
      <alignment horizontal="right" vertical="center"/>
    </xf>
    <xf numFmtId="172" fontId="25" fillId="0" borderId="2" applyAlignment="1" pivotButton="0" quotePrefix="0" xfId="0">
      <alignment horizontal="right" vertical="center"/>
    </xf>
    <xf numFmtId="173" fontId="26" fillId="11" borderId="2" applyAlignment="1" pivotButton="0" quotePrefix="0" xfId="0">
      <alignment horizontal="right" vertical="center"/>
    </xf>
    <xf numFmtId="4" fontId="28" fillId="12" borderId="2" applyAlignment="1" pivotButton="0" quotePrefix="0" xfId="0">
      <alignment horizontal="right" vertical="center"/>
    </xf>
    <xf numFmtId="172" fontId="26" fillId="11" borderId="2" applyAlignment="1" pivotButton="0" quotePrefix="0" xfId="0">
      <alignment horizontal="right" vertical="center"/>
    </xf>
    <xf numFmtId="172" fontId="30" fillId="8" borderId="2" applyAlignment="1" pivotButton="0" quotePrefix="0" xfId="0">
      <alignment horizontal="right" vertical="center"/>
    </xf>
    <xf numFmtId="171" fontId="30" fillId="0" borderId="2" applyAlignment="1" pivotButton="0" quotePrefix="0" xfId="0">
      <alignment horizontal="right" vertical="center"/>
    </xf>
    <xf numFmtId="0" fontId="32" fillId="3" borderId="0" applyAlignment="1" pivotButton="0" quotePrefix="0" xfId="0">
      <alignment horizontal="center"/>
    </xf>
    <xf numFmtId="166" fontId="29" fillId="12" borderId="0" pivotButton="0" quotePrefix="0" xfId="0"/>
    <xf numFmtId="166" fontId="27" fillId="8" borderId="0" pivotButton="0" quotePrefix="0" xfId="0"/>
    <xf numFmtId="0" fontId="33" fillId="8" borderId="0" pivotButton="0" quotePrefix="0" xfId="0"/>
    <xf numFmtId="3" fontId="27" fillId="8" borderId="0" pivotButton="0" quotePrefix="0" xfId="0"/>
    <xf numFmtId="4" fontId="34" fillId="13" borderId="0" pivotButton="0" quotePrefix="0" xfId="0"/>
    <xf numFmtId="0" fontId="34" fillId="8" borderId="0" applyAlignment="1" pivotButton="0" quotePrefix="0" xfId="0">
      <alignment horizontal="left" vertical="center" wrapText="1"/>
    </xf>
    <xf numFmtId="4" fontId="29" fillId="12" borderId="0" pivotButton="0" quotePrefix="0" xfId="0"/>
    <xf numFmtId="4" fontId="27" fillId="8" borderId="0" pivotButton="0" quotePrefix="0" xfId="0"/>
    <xf numFmtId="2" fontId="29" fillId="12" borderId="0" pivotButton="0" quotePrefix="0" xfId="0"/>
    <xf numFmtId="174" fontId="27" fillId="8" borderId="0" pivotButton="0" quotePrefix="0" xfId="0"/>
    <xf numFmtId="3" fontId="27" fillId="13" borderId="0" pivotButton="0" quotePrefix="0" xfId="0"/>
    <xf numFmtId="0" fontId="35" fillId="3" borderId="2" applyAlignment="1" pivotButton="0" quotePrefix="0" xfId="0">
      <alignment horizontal="center" vertical="center"/>
    </xf>
    <xf numFmtId="0" fontId="36" fillId="14" borderId="2" applyAlignment="1" pivotButton="0" quotePrefix="0" xfId="0">
      <alignment horizontal="center" vertical="center"/>
    </xf>
    <xf numFmtId="0" fontId="34" fillId="0" borderId="2" applyAlignment="1" pivotButton="0" quotePrefix="0" xfId="0">
      <alignment horizontal="left" vertical="center" wrapText="1"/>
    </xf>
    <xf numFmtId="166" fontId="19" fillId="0" borderId="2" applyAlignment="1" pivotButton="0" quotePrefix="0" xfId="0">
      <alignment horizontal="left" vertical="center" wrapText="1"/>
    </xf>
    <xf numFmtId="166" fontId="34" fillId="0" borderId="2" applyAlignment="1" pivotButton="0" quotePrefix="0" xfId="0">
      <alignment horizontal="left" vertical="center" wrapText="1"/>
    </xf>
    <xf numFmtId="3" fontId="34" fillId="0" borderId="2" applyAlignment="1" pivotButton="0" quotePrefix="0" xfId="0">
      <alignment horizontal="left" vertical="center" wrapText="1"/>
    </xf>
    <xf numFmtId="0" fontId="36" fillId="0" borderId="2" applyAlignment="1" pivotButton="0" quotePrefix="0" xfId="0">
      <alignment horizontal="left" vertical="center" wrapText="1"/>
    </xf>
    <xf numFmtId="3" fontId="16" fillId="0" borderId="2" applyAlignment="1" pivotButton="0" quotePrefix="0" xfId="0">
      <alignment horizontal="left" vertical="center" wrapText="1"/>
    </xf>
    <xf numFmtId="4" fontId="19" fillId="0" borderId="2" applyAlignment="1" pivotButton="0" quotePrefix="0" xfId="0">
      <alignment horizontal="left" vertical="center" wrapText="1"/>
    </xf>
    <xf numFmtId="4" fontId="34" fillId="0" borderId="2" applyAlignment="1" pivotButton="0" quotePrefix="0" xfId="0">
      <alignment horizontal="left" vertical="center" wrapText="1"/>
    </xf>
    <xf numFmtId="4" fontId="37" fillId="11" borderId="2" applyAlignment="1" pivotButton="0" quotePrefix="0" xfId="0">
      <alignment horizontal="left" vertical="center" wrapText="1"/>
    </xf>
    <xf numFmtId="174" fontId="19" fillId="0" borderId="2" applyAlignment="1" pivotButton="0" quotePrefix="0" xfId="0">
      <alignment horizontal="left" vertical="center" wrapText="1"/>
    </xf>
    <xf numFmtId="175" fontId="34" fillId="0" borderId="2" applyAlignment="1" pivotButton="0" quotePrefix="0" xfId="0">
      <alignment horizontal="left" vertical="center" wrapText="1"/>
    </xf>
    <xf numFmtId="175" fontId="37" fillId="11" borderId="2" applyAlignment="1" pivotButton="0" quotePrefix="0" xfId="0">
      <alignment horizontal="left" vertical="center" wrapText="1"/>
    </xf>
    <xf numFmtId="3" fontId="19" fillId="0" borderId="2" applyAlignment="1" pivotButton="0" quotePrefix="0" xfId="0">
      <alignment horizontal="left" vertical="center" wrapText="1"/>
    </xf>
    <xf numFmtId="175" fontId="19" fillId="0" borderId="2" applyAlignment="1" pivotButton="0" quotePrefix="0" xfId="0">
      <alignment horizontal="left" vertical="center" wrapText="1"/>
    </xf>
    <xf numFmtId="0" fontId="36" fillId="14" borderId="2" applyAlignment="1" pivotButton="0" quotePrefix="0" xfId="0">
      <alignment horizontal="left" vertical="center" wrapText="1"/>
    </xf>
    <xf numFmtId="4" fontId="37" fillId="0" borderId="2" applyAlignment="1" pivotButton="0" quotePrefix="0" xfId="0">
      <alignment horizontal="left" vertical="center" wrapText="1"/>
    </xf>
    <xf numFmtId="175" fontId="37" fillId="0" borderId="2" applyAlignment="1" pivotButton="0" quotePrefix="0" xfId="0">
      <alignment horizontal="left" vertical="center" wrapText="1"/>
    </xf>
    <xf numFmtId="0" fontId="15" fillId="15" borderId="0" pivotButton="0" quotePrefix="0" xfId="0"/>
    <xf numFmtId="9" fontId="16" fillId="0" borderId="0" pivotButton="0" quotePrefix="0" xfId="0"/>
    <xf numFmtId="176" fontId="16" fillId="0" borderId="0" pivotButton="0" quotePrefix="0" xfId="0"/>
    <xf numFmtId="3" fontId="16" fillId="0" borderId="0" pivotButton="0" quotePrefix="0" xfId="0"/>
    <xf numFmtId="166" fontId="16" fillId="0" borderId="0" pivotButton="0" quotePrefix="0" xfId="0"/>
    <xf numFmtId="167" fontId="16" fillId="0" borderId="0" pivotButton="0" quotePrefix="0" xfId="0"/>
    <xf numFmtId="166" fontId="25" fillId="0" borderId="2" applyAlignment="1" pivotButton="0" quotePrefix="0" xfId="0">
      <alignment horizontal="right" vertical="center"/>
    </xf>
    <xf numFmtId="0" fontId="30" fillId="8" borderId="2" pivotButton="0" quotePrefix="0" xfId="0"/>
    <xf numFmtId="166" fontId="30" fillId="8" borderId="2" applyAlignment="1" pivotButton="0" quotePrefix="0" xfId="0">
      <alignment horizontal="right" vertical="center"/>
    </xf>
    <xf numFmtId="0" fontId="30" fillId="8" borderId="2" applyAlignment="1" pivotButton="0" quotePrefix="0" xfId="0">
      <alignment horizontal="center" vertical="center"/>
    </xf>
    <xf numFmtId="0" fontId="3" fillId="8" borderId="2" pivotButton="0" quotePrefix="0" xfId="0"/>
    <xf numFmtId="172" fontId="38" fillId="0" borderId="2" applyAlignment="1" pivotButton="0" quotePrefix="0" xfId="0">
      <alignment horizontal="right" vertical="center"/>
    </xf>
    <xf numFmtId="166" fontId="38" fillId="0" borderId="2" applyAlignment="1" pivotButton="0" quotePrefix="0" xfId="0">
      <alignment horizontal="right" vertical="center"/>
    </xf>
    <xf numFmtId="0" fontId="0" fillId="0" borderId="2" pivotButton="0" quotePrefix="0" xfId="0"/>
    <xf numFmtId="0" fontId="3" fillId="0" borderId="2" pivotButton="0" quotePrefix="0" xfId="0"/>
    <xf numFmtId="0" fontId="0" fillId="8" borderId="2" pivotButton="0" quotePrefix="0" xfId="0"/>
    <xf numFmtId="172" fontId="30" fillId="0" borderId="2" applyAlignment="1" pivotButton="0" quotePrefix="0" xfId="0">
      <alignment horizontal="right" vertical="center"/>
    </xf>
    <xf numFmtId="0" fontId="0" fillId="10" borderId="2" pivotButton="0" quotePrefix="0" xfId="0"/>
    <xf numFmtId="171" fontId="39" fillId="0" borderId="2" applyAlignment="1" pivotButton="0" quotePrefix="0" xfId="0">
      <alignment horizontal="right" vertical="center"/>
    </xf>
    <xf numFmtId="177" fontId="30" fillId="0" borderId="2" applyAlignment="1" pivotButton="0" quotePrefix="0" xfId="0">
      <alignment horizontal="right" vertical="center"/>
    </xf>
    <xf numFmtId="166" fontId="25" fillId="10" borderId="2" applyAlignment="1" pivotButton="0" quotePrefix="0" xfId="0">
      <alignment horizontal="right" vertical="center"/>
    </xf>
    <xf numFmtId="178" fontId="38" fillId="10" borderId="2" applyAlignment="1" pivotButton="0" quotePrefix="0" xfId="0">
      <alignment horizontal="right" vertical="center"/>
    </xf>
    <xf numFmtId="0" fontId="3" fillId="10" borderId="2" applyAlignment="1" pivotButton="0" quotePrefix="0" xfId="0">
      <alignment horizontal="left" vertical="center"/>
    </xf>
    <xf numFmtId="178" fontId="38" fillId="0" borderId="2" applyAlignment="1" pivotButton="0" quotePrefix="0" xfId="0">
      <alignment horizontal="right" vertical="center"/>
    </xf>
    <xf numFmtId="0" fontId="30" fillId="8" borderId="2" applyAlignment="1" pivotButton="0" quotePrefix="0" xfId="0">
      <alignment horizontal="left" vertical="center"/>
    </xf>
    <xf numFmtId="178" fontId="39" fillId="8" borderId="2" applyAlignment="1" pivotButton="0" quotePrefix="0" xfId="0">
      <alignment horizontal="right" vertical="center"/>
    </xf>
    <xf numFmtId="0" fontId="3" fillId="8" borderId="2" applyAlignment="1" pivotButton="0" quotePrefix="0" xfId="0">
      <alignment horizontal="left" vertical="center"/>
    </xf>
    <xf numFmtId="172" fontId="38" fillId="10" borderId="2" applyAlignment="1" pivotButton="0" quotePrefix="0" xfId="0">
      <alignment horizontal="right" vertical="center"/>
    </xf>
    <xf numFmtId="172" fontId="25" fillId="10" borderId="2" applyAlignment="1" pivotButton="0" quotePrefix="0" xfId="0">
      <alignment horizontal="right" vertical="center"/>
    </xf>
    <xf numFmtId="178" fontId="25" fillId="10" borderId="2" applyAlignment="1" pivotButton="0" quotePrefix="0" xfId="0">
      <alignment horizontal="right" vertical="center"/>
    </xf>
    <xf numFmtId="178" fontId="25" fillId="0" borderId="2" applyAlignment="1" pivotButton="0" quotePrefix="0" xfId="0">
      <alignment horizontal="right" vertical="center"/>
    </xf>
    <xf numFmtId="169" fontId="38" fillId="10" borderId="2" applyAlignment="1" pivotButton="0" quotePrefix="0" xfId="0">
      <alignment horizontal="right" vertical="center"/>
    </xf>
    <xf numFmtId="169" fontId="38" fillId="0" borderId="2" applyAlignment="1" pivotButton="0" quotePrefix="0" xfId="0">
      <alignment horizontal="right" vertical="center"/>
    </xf>
    <xf numFmtId="179" fontId="38" fillId="10" borderId="2" applyAlignment="1" pivotButton="0" quotePrefix="0" xfId="0">
      <alignment horizontal="right" vertical="center"/>
    </xf>
    <xf numFmtId="180" fontId="38" fillId="10" borderId="2" applyAlignment="1" pivotButton="0" quotePrefix="0" xfId="0">
      <alignment horizontal="right" vertical="center"/>
    </xf>
    <xf numFmtId="181" fontId="38" fillId="0" borderId="2" applyAlignment="1" pivotButton="0" quotePrefix="0" xfId="0">
      <alignment horizontal="right" vertical="center"/>
    </xf>
    <xf numFmtId="171" fontId="38" fillId="10" borderId="2" applyAlignment="1" pivotButton="0" quotePrefix="0" xfId="0">
      <alignment horizontal="right" vertical="center"/>
    </xf>
    <xf numFmtId="182" fontId="38" fillId="10" borderId="2" applyAlignment="1" pivotButton="0" quotePrefix="0" xfId="0">
      <alignment horizontal="right" vertical="center"/>
    </xf>
    <xf numFmtId="0" fontId="25" fillId="8" borderId="2" applyAlignment="1" pivotButton="0" quotePrefix="0" xfId="0">
      <alignment horizontal="left" vertical="center"/>
    </xf>
    <xf numFmtId="178" fontId="39" fillId="0" borderId="2" applyAlignment="1" pivotButton="0" quotePrefix="0" xfId="0">
      <alignment horizontal="right" vertical="center"/>
    </xf>
    <xf numFmtId="166" fontId="30" fillId="10" borderId="2" applyAlignment="1" pivotButton="0" quotePrefix="0" xfId="0">
      <alignment horizontal="right" vertical="center"/>
    </xf>
    <xf numFmtId="166" fontId="30" fillId="0" borderId="2" applyAlignment="1" pivotButton="0" quotePrefix="0" xfId="0">
      <alignment horizontal="right" vertical="center"/>
    </xf>
    <xf numFmtId="171" fontId="25" fillId="10" borderId="2" applyAlignment="1" pivotButton="0" quotePrefix="0" xfId="0">
      <alignment horizontal="right" vertical="center"/>
    </xf>
    <xf numFmtId="0" fontId="25" fillId="10" borderId="2" applyAlignment="1" pivotButton="0" quotePrefix="0" xfId="0">
      <alignment horizontal="center" vertical="center"/>
    </xf>
    <xf numFmtId="0" fontId="30" fillId="13" borderId="2" applyAlignment="1" pivotButton="0" quotePrefix="0" xfId="0">
      <alignment horizontal="left" vertical="center"/>
    </xf>
    <xf numFmtId="171" fontId="41" fillId="13" borderId="2" applyAlignment="1" pivotButton="0" quotePrefix="0" xfId="0">
      <alignment horizontal="right" vertical="center"/>
    </xf>
    <xf numFmtId="0" fontId="25" fillId="13" borderId="2" applyAlignment="1" pivotButton="0" quotePrefix="0" xfId="0">
      <alignment horizontal="left" vertical="center"/>
    </xf>
    <xf numFmtId="0" fontId="3" fillId="13" borderId="2" applyAlignment="1" pivotButton="0" quotePrefix="0" xfId="0">
      <alignment horizontal="left" vertical="center"/>
    </xf>
    <xf numFmtId="0" fontId="30" fillId="16" borderId="2" applyAlignment="1" pivotButton="0" quotePrefix="0" xfId="0">
      <alignment horizontal="left" vertical="center"/>
    </xf>
    <xf numFmtId="171" fontId="41" fillId="16" borderId="2" applyAlignment="1" pivotButton="0" quotePrefix="0" xfId="0">
      <alignment horizontal="right" vertical="center"/>
    </xf>
    <xf numFmtId="0" fontId="25" fillId="16" borderId="2" applyAlignment="1" pivotButton="0" quotePrefix="0" xfId="0">
      <alignment horizontal="left" vertical="center"/>
    </xf>
    <xf numFmtId="0" fontId="3" fillId="16" borderId="2" applyAlignment="1" pivotButton="0" quotePrefix="0" xfId="0">
      <alignment horizontal="left" vertical="center"/>
    </xf>
    <xf numFmtId="0" fontId="30" fillId="17" borderId="2" applyAlignment="1" pivotButton="0" quotePrefix="0" xfId="0">
      <alignment horizontal="left" vertical="center"/>
    </xf>
    <xf numFmtId="171" fontId="41" fillId="17" borderId="2" applyAlignment="1" pivotButton="0" quotePrefix="0" xfId="0">
      <alignment horizontal="right" vertical="center"/>
    </xf>
    <xf numFmtId="0" fontId="25" fillId="17" borderId="2" applyAlignment="1" pivotButton="0" quotePrefix="0" xfId="0">
      <alignment horizontal="left" vertical="center"/>
    </xf>
    <xf numFmtId="0" fontId="3" fillId="17" borderId="2" applyAlignment="1" pivotButton="0" quotePrefix="0" xfId="0">
      <alignment horizontal="left" vertical="center"/>
    </xf>
    <xf numFmtId="0" fontId="42" fillId="0" borderId="0" pivotButton="0" quotePrefix="0" xfId="0"/>
    <xf numFmtId="0" fontId="33" fillId="0" borderId="0" pivotButton="0" quotePrefix="0" xfId="0"/>
    <xf numFmtId="0" fontId="31" fillId="0" borderId="0" pivotButton="0" quotePrefix="0" xfId="0"/>
    <xf numFmtId="0" fontId="43" fillId="13" borderId="0" pivotButton="0" quotePrefix="0" xfId="0"/>
    <xf numFmtId="3" fontId="43" fillId="13" borderId="0" pivotButton="0" quotePrefix="0" xfId="0"/>
    <xf numFmtId="0" fontId="27" fillId="13" borderId="0" pivotButton="0" quotePrefix="0" xfId="0"/>
    <xf numFmtId="0" fontId="12" fillId="0" borderId="2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left" vertical="center" wrapText="1"/>
    </xf>
    <xf numFmtId="0" fontId="36" fillId="11" borderId="2" applyAlignment="1" pivotButton="0" quotePrefix="0" xfId="0">
      <alignment horizontal="left" vertical="center" wrapText="1"/>
    </xf>
    <xf numFmtId="174" fontId="34" fillId="0" borderId="2" applyAlignment="1" pivotButton="0" quotePrefix="0" xfId="0">
      <alignment horizontal="center" vertical="center"/>
    </xf>
    <xf numFmtId="3" fontId="37" fillId="0" borderId="2" applyAlignment="1" pivotButton="0" quotePrefix="0" xfId="0">
      <alignment horizontal="center" vertical="center"/>
    </xf>
    <xf numFmtId="3" fontId="34" fillId="0" borderId="2" pivotButton="0" quotePrefix="0" xfId="0"/>
    <xf numFmtId="3" fontId="36" fillId="11" borderId="2" pivotButton="0" quotePrefix="0" xfId="0"/>
    <xf numFmtId="4" fontId="34" fillId="0" borderId="2" pivotButton="0" quotePrefix="0" xfId="0"/>
    <xf numFmtId="178" fontId="30" fillId="10" borderId="2" applyAlignment="1" pivotButton="0" quotePrefix="0" xfId="0">
      <alignment horizontal="right" vertical="center"/>
    </xf>
    <xf numFmtId="178" fontId="30" fillId="0" borderId="2" applyAlignment="1" pivotButton="0" quotePrefix="0" xfId="0">
      <alignment horizontal="right" vertical="center"/>
    </xf>
    <xf numFmtId="178" fontId="28" fillId="13" borderId="2" applyAlignment="1" pivotButton="0" quotePrefix="0" xfId="0">
      <alignment horizontal="right" vertical="center"/>
    </xf>
    <xf numFmtId="178" fontId="38" fillId="13" borderId="2" applyAlignment="1" pivotButton="0" quotePrefix="0" xfId="0">
      <alignment horizontal="right" vertical="center"/>
    </xf>
    <xf numFmtId="178" fontId="30" fillId="13" borderId="2" applyAlignment="1" pivotButton="0" quotePrefix="0" xfId="0">
      <alignment horizontal="right" vertical="center"/>
    </xf>
    <xf numFmtId="166" fontId="25" fillId="13" borderId="2" applyAlignment="1" pivotButton="0" quotePrefix="0" xfId="0">
      <alignment horizontal="right" vertical="center"/>
    </xf>
    <xf numFmtId="178" fontId="28" fillId="16" borderId="2" applyAlignment="1" pivotButton="0" quotePrefix="0" xfId="0">
      <alignment horizontal="right" vertical="center"/>
    </xf>
    <xf numFmtId="178" fontId="38" fillId="16" borderId="2" applyAlignment="1" pivotButton="0" quotePrefix="0" xfId="0">
      <alignment horizontal="right" vertical="center"/>
    </xf>
    <xf numFmtId="178" fontId="30" fillId="16" borderId="2" applyAlignment="1" pivotButton="0" quotePrefix="0" xfId="0">
      <alignment horizontal="right" vertical="center"/>
    </xf>
    <xf numFmtId="166" fontId="25" fillId="16" borderId="2" applyAlignment="1" pivotButton="0" quotePrefix="0" xfId="0">
      <alignment horizontal="right" vertical="center"/>
    </xf>
    <xf numFmtId="178" fontId="28" fillId="17" borderId="2" applyAlignment="1" pivotButton="0" quotePrefix="0" xfId="0">
      <alignment horizontal="right" vertical="center"/>
    </xf>
    <xf numFmtId="178" fontId="38" fillId="17" borderId="2" applyAlignment="1" pivotButton="0" quotePrefix="0" xfId="0">
      <alignment horizontal="right" vertical="center"/>
    </xf>
    <xf numFmtId="178" fontId="30" fillId="17" borderId="2" applyAlignment="1" pivotButton="0" quotePrefix="0" xfId="0">
      <alignment horizontal="right" vertical="center"/>
    </xf>
    <xf numFmtId="166" fontId="25" fillId="17" borderId="2" applyAlignment="1" pivotButton="0" quotePrefix="0" xfId="0">
      <alignment horizontal="right" vertical="center"/>
    </xf>
    <xf numFmtId="178" fontId="25" fillId="13" borderId="2" applyAlignment="1" pivotButton="0" quotePrefix="0" xfId="0">
      <alignment horizontal="right" vertical="center"/>
    </xf>
    <xf numFmtId="178" fontId="25" fillId="16" borderId="2" applyAlignment="1" pivotButton="0" quotePrefix="0" xfId="0">
      <alignment horizontal="right" vertical="center"/>
    </xf>
    <xf numFmtId="178" fontId="25" fillId="17" borderId="2" applyAlignment="1" pivotButton="0" quotePrefix="0" xfId="0">
      <alignment horizontal="right" vertical="center"/>
    </xf>
    <xf numFmtId="172" fontId="39" fillId="13" borderId="2" applyAlignment="1" pivotButton="0" quotePrefix="0" xfId="0">
      <alignment horizontal="right" vertical="center"/>
    </xf>
    <xf numFmtId="172" fontId="39" fillId="16" borderId="2" applyAlignment="1" pivotButton="0" quotePrefix="0" xfId="0">
      <alignment horizontal="right" vertical="center"/>
    </xf>
    <xf numFmtId="172" fontId="39" fillId="17" borderId="2" applyAlignment="1" pivotButton="0" quotePrefix="0" xfId="0">
      <alignment horizontal="right" vertical="center"/>
    </xf>
    <xf numFmtId="172" fontId="38" fillId="13" borderId="2" applyAlignment="1" pivotButton="0" quotePrefix="0" xfId="0">
      <alignment horizontal="right" vertical="center"/>
    </xf>
    <xf numFmtId="183" fontId="30" fillId="13" borderId="2" applyAlignment="1" pivotButton="0" quotePrefix="0" xfId="0">
      <alignment horizontal="right" vertical="center"/>
    </xf>
    <xf numFmtId="184" fontId="25" fillId="13" borderId="2" applyAlignment="1" pivotButton="0" quotePrefix="0" xfId="0">
      <alignment horizontal="right" vertical="center"/>
    </xf>
    <xf numFmtId="172" fontId="38" fillId="16" borderId="2" applyAlignment="1" pivotButton="0" quotePrefix="0" xfId="0">
      <alignment horizontal="right" vertical="center"/>
    </xf>
    <xf numFmtId="183" fontId="30" fillId="16" borderId="2" applyAlignment="1" pivotButton="0" quotePrefix="0" xfId="0">
      <alignment horizontal="right" vertical="center"/>
    </xf>
    <xf numFmtId="184" fontId="25" fillId="16" borderId="2" applyAlignment="1" pivotButton="0" quotePrefix="0" xfId="0">
      <alignment horizontal="right" vertical="center"/>
    </xf>
    <xf numFmtId="172" fontId="38" fillId="17" borderId="2" applyAlignment="1" pivotButton="0" quotePrefix="0" xfId="0">
      <alignment horizontal="right" vertical="center"/>
    </xf>
    <xf numFmtId="183" fontId="30" fillId="17" borderId="2" applyAlignment="1" pivotButton="0" quotePrefix="0" xfId="0">
      <alignment horizontal="right" vertical="center"/>
    </xf>
    <xf numFmtId="184" fontId="25" fillId="17" borderId="2" applyAlignment="1" pivotButton="0" quotePrefix="0" xfId="0">
      <alignment horizontal="right" vertical="center"/>
    </xf>
    <xf numFmtId="183" fontId="25" fillId="13" borderId="2" applyAlignment="1" pivotButton="0" quotePrefix="0" xfId="0">
      <alignment horizontal="right" vertical="center"/>
    </xf>
    <xf numFmtId="172" fontId="30" fillId="13" borderId="2" applyAlignment="1" pivotButton="0" quotePrefix="0" xfId="0">
      <alignment horizontal="right" vertical="center"/>
    </xf>
    <xf numFmtId="183" fontId="25" fillId="16" borderId="2" applyAlignment="1" pivotButton="0" quotePrefix="0" xfId="0">
      <alignment horizontal="right" vertical="center"/>
    </xf>
    <xf numFmtId="172" fontId="30" fillId="16" borderId="2" applyAlignment="1" pivotButton="0" quotePrefix="0" xfId="0">
      <alignment horizontal="right" vertical="center"/>
    </xf>
    <xf numFmtId="183" fontId="25" fillId="17" borderId="2" applyAlignment="1" pivotButton="0" quotePrefix="0" xfId="0">
      <alignment horizontal="right" vertical="center"/>
    </xf>
    <xf numFmtId="172" fontId="30" fillId="17" borderId="2" applyAlignment="1" pivotButton="0" quotePrefix="0" xfId="0">
      <alignment horizontal="right" vertical="center"/>
    </xf>
    <xf numFmtId="169" fontId="38" fillId="13" borderId="2" applyAlignment="1" pivotButton="0" quotePrefix="0" xfId="0">
      <alignment horizontal="right" vertical="center"/>
    </xf>
    <xf numFmtId="166" fontId="30" fillId="13" borderId="2" applyAlignment="1" pivotButton="0" quotePrefix="0" xfId="0">
      <alignment horizontal="right" vertical="center"/>
    </xf>
    <xf numFmtId="169" fontId="38" fillId="16" borderId="2" applyAlignment="1" pivotButton="0" quotePrefix="0" xfId="0">
      <alignment horizontal="right" vertical="center"/>
    </xf>
    <xf numFmtId="166" fontId="30" fillId="16" borderId="2" applyAlignment="1" pivotButton="0" quotePrefix="0" xfId="0">
      <alignment horizontal="right" vertical="center"/>
    </xf>
    <xf numFmtId="169" fontId="38" fillId="17" borderId="2" applyAlignment="1" pivotButton="0" quotePrefix="0" xfId="0">
      <alignment horizontal="right" vertical="center"/>
    </xf>
    <xf numFmtId="166" fontId="30" fillId="17" borderId="2" applyAlignment="1" pivotButton="0" quotePrefix="0" xfId="0">
      <alignment horizontal="right" vertical="center"/>
    </xf>
    <xf numFmtId="4" fontId="36" fillId="11" borderId="2" applyAlignment="1" pivotButton="0" quotePrefix="0" xfId="0">
      <alignment horizontal="left" vertical="center" wrapText="1"/>
    </xf>
    <xf numFmtId="166" fontId="36" fillId="11" borderId="2" applyAlignment="1" pivotButton="0" quotePrefix="0" xfId="0">
      <alignment horizontal="left" vertical="center" wrapText="1"/>
    </xf>
    <xf numFmtId="3" fontId="36" fillId="11" borderId="2" applyAlignment="1" pivotButton="0" quotePrefix="0" xfId="0">
      <alignment horizontal="left" vertical="center" wrapText="1"/>
    </xf>
    <xf numFmtId="3" fontId="37" fillId="0" borderId="2" applyAlignment="1" pivotButton="0" quotePrefix="0" xfId="0">
      <alignment horizontal="left" vertical="center" wrapText="1"/>
    </xf>
    <xf numFmtId="166" fontId="37" fillId="0" borderId="2" applyAlignment="1" pivotButton="0" quotePrefix="0" xfId="0">
      <alignment horizontal="left" vertical="center" wrapText="1"/>
    </xf>
    <xf numFmtId="2" fontId="34" fillId="0" borderId="2" pivotButton="0" quotePrefix="0" xfId="0"/>
    <xf numFmtId="166" fontId="37" fillId="0" borderId="2" pivotButton="0" quotePrefix="0" xfId="0"/>
    <xf numFmtId="0" fontId="34" fillId="11" borderId="2" applyAlignment="1" pivotButton="0" quotePrefix="0" xfId="0">
      <alignment horizontal="left" vertical="center" wrapText="1"/>
    </xf>
    <xf numFmtId="3" fontId="11" fillId="11" borderId="2" pivotButton="0" quotePrefix="0" xfId="0"/>
    <xf numFmtId="3" fontId="37" fillId="0" borderId="2" pivotButton="0" quotePrefix="0" xfId="0"/>
    <xf numFmtId="0" fontId="47" fillId="9" borderId="2" applyAlignment="1" pivotButton="0" quotePrefix="0" xfId="0">
      <alignment horizontal="center" vertical="center"/>
    </xf>
    <xf numFmtId="0" fontId="47" fillId="9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left" vertical="center"/>
    </xf>
    <xf numFmtId="0" fontId="6" fillId="0" borderId="2" applyAlignment="1" pivotButton="0" quotePrefix="0" xfId="0">
      <alignment horizontal="center" vertical="center"/>
    </xf>
    <xf numFmtId="0" fontId="45" fillId="0" borderId="2" applyAlignment="1" pivotButton="0" quotePrefix="0" xfId="0">
      <alignment horizontal="left" vertical="center"/>
    </xf>
    <xf numFmtId="166" fontId="48" fillId="11" borderId="2" applyAlignment="1" pivotButton="0" quotePrefix="0" xfId="0">
      <alignment horizontal="center" vertical="center"/>
    </xf>
    <xf numFmtId="0" fontId="6" fillId="0" borderId="2" applyAlignment="1" pivotButton="0" quotePrefix="0" xfId="0">
      <alignment horizontal="center" vertical="center" wrapText="1"/>
    </xf>
    <xf numFmtId="0" fontId="49" fillId="18" borderId="2" applyAlignment="1" pivotButton="0" quotePrefix="0" xfId="0">
      <alignment horizontal="center" vertical="center" wrapText="1"/>
    </xf>
    <xf numFmtId="0" fontId="45" fillId="0" borderId="2" applyAlignment="1" pivotButton="0" quotePrefix="0" xfId="0">
      <alignment horizontal="left" vertical="center" wrapText="1"/>
    </xf>
    <xf numFmtId="0" fontId="13" fillId="17" borderId="2" applyAlignment="1" pivotButton="0" quotePrefix="0" xfId="0">
      <alignment horizontal="center" vertical="center" wrapText="1"/>
    </xf>
    <xf numFmtId="3" fontId="48" fillId="11" borderId="2" applyAlignment="1" pivotButton="0" quotePrefix="0" xfId="0">
      <alignment horizontal="right" vertical="center"/>
    </xf>
    <xf numFmtId="169" fontId="6" fillId="0" borderId="2" applyAlignment="1" pivotButton="0" quotePrefix="0" xfId="0">
      <alignment horizontal="right" vertical="center"/>
    </xf>
    <xf numFmtId="9" fontId="48" fillId="0" borderId="2" applyAlignment="1" pivotButton="0" quotePrefix="0" xfId="0">
      <alignment horizontal="center" vertical="center"/>
    </xf>
    <xf numFmtId="3" fontId="37" fillId="0" borderId="2" applyAlignment="1" pivotButton="0" quotePrefix="0" xfId="0">
      <alignment horizontal="right" vertical="center"/>
    </xf>
    <xf numFmtId="0" fontId="6" fillId="10" borderId="2" applyAlignment="1" pivotButton="0" quotePrefix="0" xfId="0">
      <alignment horizontal="center" vertical="center" wrapText="1"/>
    </xf>
    <xf numFmtId="0" fontId="45" fillId="10" borderId="2" applyAlignment="1" pivotButton="0" quotePrefix="0" xfId="0">
      <alignment horizontal="left" vertical="center" wrapText="1"/>
    </xf>
    <xf numFmtId="0" fontId="11" fillId="10" borderId="2" applyAlignment="1" pivotButton="0" quotePrefix="0" xfId="0">
      <alignment horizontal="left" vertical="center"/>
    </xf>
    <xf numFmtId="0" fontId="6" fillId="10" borderId="2" applyAlignment="1" pivotButton="0" quotePrefix="0" xfId="0">
      <alignment horizontal="center" vertical="center"/>
    </xf>
    <xf numFmtId="3" fontId="6" fillId="10" borderId="2" applyAlignment="1" pivotButton="0" quotePrefix="0" xfId="0">
      <alignment horizontal="right" vertical="center"/>
    </xf>
    <xf numFmtId="3" fontId="37" fillId="10" borderId="2" applyAlignment="1" pivotButton="0" quotePrefix="0" xfId="0">
      <alignment horizontal="right" vertical="center"/>
    </xf>
    <xf numFmtId="0" fontId="11" fillId="8" borderId="2" applyAlignment="1" pivotButton="0" quotePrefix="0" xfId="0">
      <alignment horizontal="left" vertical="center"/>
    </xf>
    <xf numFmtId="0" fontId="6" fillId="8" borderId="2" applyAlignment="1" pivotButton="0" quotePrefix="0" xfId="0">
      <alignment horizontal="center" vertical="center"/>
    </xf>
    <xf numFmtId="0" fontId="45" fillId="8" borderId="2" applyAlignment="1" pivotButton="0" quotePrefix="0" xfId="0">
      <alignment horizontal="left" vertical="center"/>
    </xf>
    <xf numFmtId="3" fontId="6" fillId="8" borderId="2" applyAlignment="1" pivotButton="0" quotePrefix="0" xfId="0">
      <alignment horizontal="right" vertical="center"/>
    </xf>
    <xf numFmtId="3" fontId="6" fillId="0" borderId="2" applyAlignment="1" pivotButton="0" quotePrefix="0" xfId="0">
      <alignment horizontal="right" vertical="center"/>
    </xf>
    <xf numFmtId="0" fontId="45" fillId="0" borderId="2" applyAlignment="1" pivotButton="0" quotePrefix="0" xfId="0">
      <alignment horizontal="center" vertical="center"/>
    </xf>
    <xf numFmtId="166" fontId="45" fillId="0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left" vertical="center"/>
    </xf>
    <xf numFmtId="0" fontId="6" fillId="8" borderId="2" applyAlignment="1" pivotButton="0" quotePrefix="0" xfId="0">
      <alignment horizontal="center" vertical="center" wrapText="1"/>
    </xf>
    <xf numFmtId="0" fontId="45" fillId="8" borderId="2" applyAlignment="1" pivotButton="0" quotePrefix="0" xfId="0">
      <alignment horizontal="left" vertical="center" wrapText="1"/>
    </xf>
    <xf numFmtId="166" fontId="6" fillId="0" borderId="2" applyAlignment="1" pivotButton="0" quotePrefix="0" xfId="0">
      <alignment horizontal="center" vertical="center"/>
    </xf>
    <xf numFmtId="165" fontId="6" fillId="0" borderId="2" applyAlignment="1" pivotButton="0" quotePrefix="0" xfId="0">
      <alignment horizontal="center" vertical="center"/>
    </xf>
    <xf numFmtId="0" fontId="11" fillId="0" borderId="2" applyAlignment="1" pivotButton="0" quotePrefix="0" xfId="0">
      <alignment horizontal="center" vertical="center"/>
    </xf>
    <xf numFmtId="166" fontId="11" fillId="0" borderId="2" applyAlignment="1" pivotButton="0" quotePrefix="0" xfId="0">
      <alignment horizontal="center" vertical="center"/>
    </xf>
    <xf numFmtId="0" fontId="11" fillId="19" borderId="2" applyAlignment="1" pivotButton="0" quotePrefix="0" xfId="0">
      <alignment horizontal="left" vertical="center"/>
    </xf>
    <xf numFmtId="0" fontId="6" fillId="19" borderId="2" applyAlignment="1" pivotButton="0" quotePrefix="0" xfId="0">
      <alignment horizontal="left" vertical="center"/>
    </xf>
    <xf numFmtId="0" fontId="11" fillId="18" borderId="2" applyAlignment="1" pivotButton="0" quotePrefix="0" xfId="0">
      <alignment horizontal="left" vertical="center"/>
    </xf>
    <xf numFmtId="0" fontId="6" fillId="18" borderId="2" applyAlignment="1" pivotButton="0" quotePrefix="0" xfId="0">
      <alignment horizontal="left" vertical="center"/>
    </xf>
    <xf numFmtId="0" fontId="11" fillId="17" borderId="2" applyAlignment="1" pivotButton="0" quotePrefix="0" xfId="0">
      <alignment horizontal="left" vertical="center"/>
    </xf>
    <xf numFmtId="0" fontId="6" fillId="17" borderId="2" applyAlignment="1" pivotButton="0" quotePrefix="0" xfId="0">
      <alignment horizontal="left" vertical="center"/>
    </xf>
    <xf numFmtId="0" fontId="11" fillId="0" borderId="2" applyAlignment="1" pivotButton="0" quotePrefix="0" xfId="0">
      <alignment horizontal="left" vertical="center"/>
    </xf>
    <xf numFmtId="166" fontId="6" fillId="0" borderId="2" applyAlignment="1" pivotButton="0" quotePrefix="0" xfId="0">
      <alignment horizontal="right" vertical="center"/>
    </xf>
    <xf numFmtId="0" fontId="50" fillId="0" borderId="2" applyAlignment="1" pivotButton="0" quotePrefix="0" xfId="0">
      <alignment horizontal="center" vertical="center"/>
    </xf>
    <xf numFmtId="0" fontId="13" fillId="17" borderId="2" applyAlignment="1" pivotButton="0" quotePrefix="0" xfId="0">
      <alignment horizontal="center" vertical="center"/>
    </xf>
    <xf numFmtId="3" fontId="13" fillId="17" borderId="2" applyAlignment="1" pivotButton="0" quotePrefix="0" xfId="0">
      <alignment horizontal="right" vertical="center"/>
    </xf>
    <xf numFmtId="3" fontId="11" fillId="8" borderId="2" applyAlignment="1" pivotButton="0" quotePrefix="0" xfId="0">
      <alignment horizontal="right" vertical="center"/>
    </xf>
    <xf numFmtId="185" fontId="13" fillId="17" borderId="2" applyAlignment="1" pivotButton="0" quotePrefix="0" xfId="0">
      <alignment horizontal="right" vertical="center"/>
    </xf>
    <xf numFmtId="0" fontId="51" fillId="0" borderId="0" pivotButton="0" quotePrefix="0" xfId="0"/>
    <xf numFmtId="0" fontId="52" fillId="0" borderId="0" pivotButton="0" quotePrefix="0" xfId="0"/>
    <xf numFmtId="0" fontId="53" fillId="0" borderId="0" pivotButton="0" quotePrefix="0" xfId="0"/>
    <xf numFmtId="9" fontId="54" fillId="0" borderId="0" pivotButton="0" quotePrefix="0" xfId="0"/>
    <xf numFmtId="9" fontId="55" fillId="0" borderId="0" pivotButton="0" quotePrefix="0" xfId="0"/>
    <xf numFmtId="2" fontId="54" fillId="0" borderId="0" pivotButton="0" quotePrefix="0" xfId="0"/>
    <xf numFmtId="3" fontId="54" fillId="0" borderId="0" pivotButton="0" quotePrefix="0" xfId="0"/>
    <xf numFmtId="4" fontId="54" fillId="0" borderId="0" pivotButton="0" quotePrefix="0" xfId="0"/>
    <xf numFmtId="175" fontId="54" fillId="0" borderId="0" pivotButton="0" quotePrefix="0" xfId="0"/>
    <xf numFmtId="174" fontId="54" fillId="0" borderId="0" pivotButton="0" quotePrefix="0" xfId="0"/>
    <xf numFmtId="166" fontId="54" fillId="0" borderId="0" pivotButton="0" quotePrefix="0" xfId="0"/>
    <xf numFmtId="0" fontId="56" fillId="20" borderId="8" applyAlignment="1" pivotButton="0" quotePrefix="0" xfId="0">
      <alignment horizontal="center" vertical="center" wrapText="1"/>
    </xf>
    <xf numFmtId="0" fontId="57" fillId="0" borderId="8" applyAlignment="1" pivotButton="0" quotePrefix="0" xfId="0">
      <alignment horizontal="left" vertical="center"/>
    </xf>
    <xf numFmtId="0" fontId="57" fillId="2" borderId="8" applyAlignment="1" pivotButton="0" quotePrefix="0" xfId="0">
      <alignment horizontal="left" vertical="center"/>
    </xf>
    <xf numFmtId="164" fontId="57" fillId="0" borderId="8" applyAlignment="1" pivotButton="0" quotePrefix="0" xfId="0">
      <alignment horizontal="left" vertical="center"/>
    </xf>
    <xf numFmtId="165" fontId="57" fillId="0" borderId="8" applyAlignment="1" pivotButton="0" quotePrefix="0" xfId="0">
      <alignment horizontal="left" vertical="center"/>
    </xf>
    <xf numFmtId="166" fontId="57" fillId="0" borderId="8" applyAlignment="1" pivotButton="0" quotePrefix="0" xfId="0">
      <alignment horizontal="left" vertical="center"/>
    </xf>
    <xf numFmtId="0" fontId="57" fillId="3" borderId="8" applyAlignment="1" pivotButton="0" quotePrefix="0" xfId="0">
      <alignment horizontal="left" vertical="center"/>
    </xf>
    <xf numFmtId="0" fontId="57" fillId="4" borderId="8" applyAlignment="1" pivotButton="0" quotePrefix="0" xfId="0">
      <alignment horizontal="left" vertical="center"/>
    </xf>
    <xf numFmtId="0" fontId="57" fillId="5" borderId="8" applyAlignment="1" pivotButton="0" quotePrefix="0" xfId="0">
      <alignment horizontal="left" vertical="center"/>
    </xf>
    <xf numFmtId="0" fontId="57" fillId="6" borderId="8" applyAlignment="1" pivotButton="0" quotePrefix="0" xfId="0">
      <alignment horizontal="left" vertical="center"/>
    </xf>
    <xf numFmtId="3" fontId="57" fillId="0" borderId="8" applyAlignment="1" pivotButton="0" quotePrefix="0" xfId="0">
      <alignment horizontal="left" vertical="center"/>
    </xf>
    <xf numFmtId="3" fontId="57" fillId="7" borderId="8" applyAlignment="1" pivotButton="0" quotePrefix="0" xfId="0">
      <alignment horizontal="left" vertical="center"/>
    </xf>
    <xf numFmtId="0" fontId="57" fillId="7" borderId="8" applyAlignment="1" pivotButton="0" quotePrefix="0" xfId="0">
      <alignment horizontal="left" vertical="center"/>
    </xf>
    <xf numFmtId="0" fontId="57" fillId="8" borderId="8" applyAlignment="1" pivotButton="0" quotePrefix="0" xfId="0">
      <alignment horizontal="left" vertical="center"/>
    </xf>
    <xf numFmtId="3" fontId="57" fillId="8" borderId="8" applyAlignment="1" pivotButton="0" quotePrefix="0" xfId="0">
      <alignment horizontal="left" vertical="center"/>
    </xf>
    <xf numFmtId="166" fontId="57" fillId="7" borderId="8" applyAlignment="1" pivotButton="0" quotePrefix="0" xfId="0">
      <alignment horizontal="left" vertical="center"/>
    </xf>
    <xf numFmtId="186" fontId="57" fillId="0" borderId="8" applyAlignment="1" pivotButton="0" quotePrefix="0" xfId="0">
      <alignment horizontal="right" vertical="center"/>
    </xf>
    <xf numFmtId="167" fontId="57" fillId="0" borderId="8" applyAlignment="1" pivotButton="0" quotePrefix="0" xfId="0">
      <alignment horizontal="left" vertical="center"/>
    </xf>
    <xf numFmtId="168" fontId="57" fillId="0" borderId="8" applyAlignment="1" pivotButton="0" quotePrefix="0" xfId="0">
      <alignment horizontal="left" vertical="center"/>
    </xf>
    <xf numFmtId="165" fontId="57" fillId="7" borderId="8" applyAlignment="1" pivotButton="0" quotePrefix="0" xfId="0">
      <alignment horizontal="left" vertical="center"/>
    </xf>
    <xf numFmtId="186" fontId="57" fillId="7" borderId="8" applyAlignment="1" pivotButton="0" quotePrefix="0" xfId="0">
      <alignment horizontal="right" vertical="center"/>
    </xf>
    <xf numFmtId="0" fontId="57" fillId="9" borderId="8" applyAlignment="1" pivotButton="0" quotePrefix="0" xfId="0">
      <alignment horizontal="left" vertical="center"/>
    </xf>
    <xf numFmtId="0" fontId="57" fillId="10" borderId="8" applyAlignment="1" pivotButton="0" quotePrefix="0" xfId="0">
      <alignment horizontal="left" vertical="center"/>
    </xf>
    <xf numFmtId="186" fontId="57" fillId="11" borderId="8" applyAlignment="1" pivotButton="0" quotePrefix="0" xfId="0">
      <alignment horizontal="right" vertical="center"/>
    </xf>
    <xf numFmtId="169" fontId="57" fillId="0" borderId="8" applyAlignment="1" pivotButton="0" quotePrefix="0" xfId="0">
      <alignment horizontal="left" vertical="center"/>
    </xf>
    <xf numFmtId="2" fontId="57" fillId="8" borderId="8" applyAlignment="1" pivotButton="0" quotePrefix="0" xfId="0">
      <alignment horizontal="left" vertical="center"/>
    </xf>
    <xf numFmtId="186" fontId="57" fillId="12" borderId="8" applyAlignment="1" pivotButton="0" quotePrefix="0" xfId="0">
      <alignment horizontal="right" vertical="center"/>
    </xf>
    <xf numFmtId="171" fontId="57" fillId="0" borderId="8" applyAlignment="1" pivotButton="0" quotePrefix="0" xfId="0">
      <alignment horizontal="left" vertical="center"/>
    </xf>
    <xf numFmtId="172" fontId="57" fillId="0" borderId="8" applyAlignment="1" pivotButton="0" quotePrefix="0" xfId="0">
      <alignment horizontal="left" vertical="center"/>
    </xf>
    <xf numFmtId="4" fontId="57" fillId="12" borderId="8" applyAlignment="1" pivotButton="0" quotePrefix="0" xfId="0">
      <alignment horizontal="left" vertical="center"/>
    </xf>
    <xf numFmtId="172" fontId="57" fillId="8" borderId="8" applyAlignment="1" pivotButton="0" quotePrefix="0" xfId="0">
      <alignment horizontal="left" vertical="center"/>
    </xf>
    <xf numFmtId="166" fontId="57" fillId="8" borderId="8" applyAlignment="1" pivotButton="0" quotePrefix="0" xfId="0">
      <alignment horizontal="left" vertical="center"/>
    </xf>
    <xf numFmtId="4" fontId="57" fillId="13" borderId="8" applyAlignment="1" pivotButton="0" quotePrefix="0" xfId="0">
      <alignment horizontal="left" vertical="center"/>
    </xf>
    <xf numFmtId="4" fontId="57" fillId="8" borderId="8" applyAlignment="1" pivotButton="0" quotePrefix="0" xfId="0">
      <alignment horizontal="left" vertical="center"/>
    </xf>
    <xf numFmtId="174" fontId="57" fillId="8" borderId="8" applyAlignment="1" pivotButton="0" quotePrefix="0" xfId="0">
      <alignment horizontal="left" vertical="center"/>
    </xf>
    <xf numFmtId="3" fontId="57" fillId="13" borderId="8" applyAlignment="1" pivotButton="0" quotePrefix="0" xfId="0">
      <alignment horizontal="left" vertical="center"/>
    </xf>
    <xf numFmtId="0" fontId="58" fillId="21" borderId="8" applyAlignment="1" pivotButton="0" quotePrefix="0" xfId="0">
      <alignment horizontal="center" vertical="center" wrapText="1"/>
    </xf>
    <xf numFmtId="0" fontId="57" fillId="14" borderId="8" applyAlignment="1" pivotButton="0" quotePrefix="0" xfId="0">
      <alignment horizontal="left" vertical="center"/>
    </xf>
    <xf numFmtId="4" fontId="57" fillId="0" borderId="8" applyAlignment="1" pivotButton="0" quotePrefix="0" xfId="0">
      <alignment horizontal="left" vertical="center"/>
    </xf>
    <xf numFmtId="4" fontId="57" fillId="11" borderId="8" applyAlignment="1" pivotButton="0" quotePrefix="0" xfId="0">
      <alignment horizontal="left" vertical="center"/>
    </xf>
    <xf numFmtId="175" fontId="57" fillId="0" borderId="8" applyAlignment="1" pivotButton="0" quotePrefix="0" xfId="0">
      <alignment horizontal="left" vertical="center"/>
    </xf>
    <xf numFmtId="175" fontId="57" fillId="11" borderId="8" applyAlignment="1" pivotButton="0" quotePrefix="0" xfId="0">
      <alignment horizontal="left" vertical="center"/>
    </xf>
    <xf numFmtId="0" fontId="57" fillId="15" borderId="8" applyAlignment="1" pivotButton="0" quotePrefix="0" xfId="0">
      <alignment horizontal="left" vertical="center"/>
    </xf>
    <xf numFmtId="177" fontId="57" fillId="0" borderId="8" applyAlignment="1" pivotButton="0" quotePrefix="0" xfId="0">
      <alignment horizontal="left" vertical="center"/>
    </xf>
    <xf numFmtId="166" fontId="57" fillId="10" borderId="8" applyAlignment="1" pivotButton="0" quotePrefix="0" xfId="0">
      <alignment horizontal="left" vertical="center"/>
    </xf>
    <xf numFmtId="178" fontId="57" fillId="10" borderId="8" applyAlignment="1" pivotButton="0" quotePrefix="0" xfId="0">
      <alignment horizontal="left" vertical="center"/>
    </xf>
    <xf numFmtId="178" fontId="57" fillId="0" borderId="8" applyAlignment="1" pivotButton="0" quotePrefix="0" xfId="0">
      <alignment horizontal="left" vertical="center"/>
    </xf>
    <xf numFmtId="178" fontId="57" fillId="8" borderId="8" applyAlignment="1" pivotButton="0" quotePrefix="0" xfId="0">
      <alignment horizontal="left" vertical="center"/>
    </xf>
    <xf numFmtId="172" fontId="57" fillId="10" borderId="8" applyAlignment="1" pivotButton="0" quotePrefix="0" xfId="0">
      <alignment horizontal="left" vertical="center"/>
    </xf>
    <xf numFmtId="186" fontId="57" fillId="10" borderId="8" applyAlignment="1" pivotButton="0" quotePrefix="0" xfId="0">
      <alignment horizontal="right" vertical="center"/>
    </xf>
    <xf numFmtId="169" fontId="57" fillId="10" borderId="8" applyAlignment="1" pivotButton="0" quotePrefix="0" xfId="0">
      <alignment horizontal="left" vertical="center"/>
    </xf>
    <xf numFmtId="179" fontId="57" fillId="10" borderId="8" applyAlignment="1" pivotButton="0" quotePrefix="0" xfId="0">
      <alignment horizontal="left" vertical="center"/>
    </xf>
    <xf numFmtId="180" fontId="57" fillId="10" borderId="8" applyAlignment="1" pivotButton="0" quotePrefix="0" xfId="0">
      <alignment horizontal="left" vertical="center"/>
    </xf>
    <xf numFmtId="181" fontId="57" fillId="0" borderId="8" applyAlignment="1" pivotButton="0" quotePrefix="0" xfId="0">
      <alignment horizontal="left" vertical="center"/>
    </xf>
    <xf numFmtId="171" fontId="57" fillId="10" borderId="8" applyAlignment="1" pivotButton="0" quotePrefix="0" xfId="0">
      <alignment horizontal="left" vertical="center"/>
    </xf>
    <xf numFmtId="182" fontId="57" fillId="10" borderId="8" applyAlignment="1" pivotButton="0" quotePrefix="0" xfId="0">
      <alignment horizontal="left" vertical="center"/>
    </xf>
    <xf numFmtId="0" fontId="57" fillId="13" borderId="8" applyAlignment="1" pivotButton="0" quotePrefix="0" xfId="0">
      <alignment horizontal="left" vertical="center"/>
    </xf>
    <xf numFmtId="186" fontId="57" fillId="13" borderId="8" applyAlignment="1" pivotButton="0" quotePrefix="0" xfId="0">
      <alignment horizontal="right" vertical="center"/>
    </xf>
    <xf numFmtId="0" fontId="57" fillId="16" borderId="8" applyAlignment="1" pivotButton="0" quotePrefix="0" xfId="0">
      <alignment horizontal="left" vertical="center"/>
    </xf>
    <xf numFmtId="186" fontId="57" fillId="16" borderId="8" applyAlignment="1" pivotButton="0" quotePrefix="0" xfId="0">
      <alignment horizontal="right" vertical="center"/>
    </xf>
    <xf numFmtId="0" fontId="57" fillId="17" borderId="8" applyAlignment="1" pivotButton="0" quotePrefix="0" xfId="0">
      <alignment horizontal="left" vertical="center"/>
    </xf>
    <xf numFmtId="186" fontId="57" fillId="17" borderId="8" applyAlignment="1" pivotButton="0" quotePrefix="0" xfId="0">
      <alignment horizontal="right" vertical="center"/>
    </xf>
    <xf numFmtId="186" fontId="57" fillId="8" borderId="8" applyAlignment="1" pivotButton="0" quotePrefix="0" xfId="0">
      <alignment horizontal="right" vertical="center"/>
    </xf>
    <xf numFmtId="0" fontId="57" fillId="11" borderId="8" applyAlignment="1" pivotButton="0" quotePrefix="0" xfId="0">
      <alignment horizontal="left" vertical="center"/>
    </xf>
    <xf numFmtId="174" fontId="57" fillId="0" borderId="8" applyAlignment="1" pivotButton="0" quotePrefix="0" xfId="0">
      <alignment horizontal="left" vertical="center"/>
    </xf>
    <xf numFmtId="3" fontId="57" fillId="11" borderId="8" applyAlignment="1" pivotButton="0" quotePrefix="0" xfId="0">
      <alignment horizontal="left" vertical="center"/>
    </xf>
    <xf numFmtId="178" fontId="57" fillId="13" borderId="8" applyAlignment="1" pivotButton="0" quotePrefix="0" xfId="0">
      <alignment horizontal="left" vertical="center"/>
    </xf>
    <xf numFmtId="166" fontId="57" fillId="13" borderId="8" applyAlignment="1" pivotButton="0" quotePrefix="0" xfId="0">
      <alignment horizontal="left" vertical="center"/>
    </xf>
    <xf numFmtId="178" fontId="57" fillId="16" borderId="8" applyAlignment="1" pivotButton="0" quotePrefix="0" xfId="0">
      <alignment horizontal="left" vertical="center"/>
    </xf>
    <xf numFmtId="166" fontId="57" fillId="16" borderId="8" applyAlignment="1" pivotButton="0" quotePrefix="0" xfId="0">
      <alignment horizontal="left" vertical="center"/>
    </xf>
    <xf numFmtId="178" fontId="57" fillId="17" borderId="8" applyAlignment="1" pivotButton="0" quotePrefix="0" xfId="0">
      <alignment horizontal="left" vertical="center"/>
    </xf>
    <xf numFmtId="166" fontId="57" fillId="17" borderId="8" applyAlignment="1" pivotButton="0" quotePrefix="0" xfId="0">
      <alignment horizontal="left" vertical="center"/>
    </xf>
    <xf numFmtId="172" fontId="57" fillId="13" borderId="8" applyAlignment="1" pivotButton="0" quotePrefix="0" xfId="0">
      <alignment horizontal="left" vertical="center"/>
    </xf>
    <xf numFmtId="172" fontId="57" fillId="16" borderId="8" applyAlignment="1" pivotButton="0" quotePrefix="0" xfId="0">
      <alignment horizontal="left" vertical="center"/>
    </xf>
    <xf numFmtId="172" fontId="57" fillId="17" borderId="8" applyAlignment="1" pivotButton="0" quotePrefix="0" xfId="0">
      <alignment horizontal="left" vertical="center"/>
    </xf>
    <xf numFmtId="183" fontId="57" fillId="13" borderId="8" applyAlignment="1" pivotButton="0" quotePrefix="0" xfId="0">
      <alignment horizontal="left" vertical="center"/>
    </xf>
    <xf numFmtId="184" fontId="57" fillId="13" borderId="8" applyAlignment="1" pivotButton="0" quotePrefix="0" xfId="0">
      <alignment horizontal="left" vertical="center"/>
    </xf>
    <xf numFmtId="183" fontId="57" fillId="16" borderId="8" applyAlignment="1" pivotButton="0" quotePrefix="0" xfId="0">
      <alignment horizontal="left" vertical="center"/>
    </xf>
    <xf numFmtId="184" fontId="57" fillId="16" borderId="8" applyAlignment="1" pivotButton="0" quotePrefix="0" xfId="0">
      <alignment horizontal="left" vertical="center"/>
    </xf>
    <xf numFmtId="183" fontId="57" fillId="17" borderId="8" applyAlignment="1" pivotButton="0" quotePrefix="0" xfId="0">
      <alignment horizontal="left" vertical="center"/>
    </xf>
    <xf numFmtId="184" fontId="57" fillId="17" borderId="8" applyAlignment="1" pivotButton="0" quotePrefix="0" xfId="0">
      <alignment horizontal="left" vertical="center"/>
    </xf>
    <xf numFmtId="169" fontId="57" fillId="13" borderId="8" applyAlignment="1" pivotButton="0" quotePrefix="0" xfId="0">
      <alignment horizontal="left" vertical="center"/>
    </xf>
    <xf numFmtId="169" fontId="57" fillId="16" borderId="8" applyAlignment="1" pivotButton="0" quotePrefix="0" xfId="0">
      <alignment horizontal="left" vertical="center"/>
    </xf>
    <xf numFmtId="169" fontId="57" fillId="17" borderId="8" applyAlignment="1" pivotButton="0" quotePrefix="0" xfId="0">
      <alignment horizontal="left" vertical="center"/>
    </xf>
    <xf numFmtId="166" fontId="57" fillId="11" borderId="8" applyAlignment="1" pivotButton="0" quotePrefix="0" xfId="0">
      <alignment horizontal="left" vertical="center"/>
    </xf>
    <xf numFmtId="2" fontId="57" fillId="0" borderId="8" applyAlignment="1" pivotButton="0" quotePrefix="0" xfId="0">
      <alignment horizontal="left" vertical="center"/>
    </xf>
    <xf numFmtId="0" fontId="0" fillId="0" borderId="5" pivotButton="0" quotePrefix="0" xfId="0"/>
    <xf numFmtId="0" fontId="0" fillId="0" borderId="7" pivotButton="0" quotePrefix="0" xfId="0"/>
    <xf numFmtId="0" fontId="57" fillId="18" borderId="8" applyAlignment="1" pivotButton="0" quotePrefix="0" xfId="0">
      <alignment horizontal="left" vertical="center"/>
    </xf>
    <xf numFmtId="3" fontId="57" fillId="10" borderId="8" applyAlignment="1" pivotButton="0" quotePrefix="0" xfId="0">
      <alignment horizontal="left" vertical="center"/>
    </xf>
    <xf numFmtId="0" fontId="57" fillId="19" borderId="8" applyAlignment="1" pivotButton="0" quotePrefix="0" xfId="0">
      <alignment horizontal="left" vertical="center"/>
    </xf>
    <xf numFmtId="9" fontId="57" fillId="0" borderId="8" applyAlignment="1" pivotButton="0" quotePrefix="0" xfId="0">
      <alignment horizontal="left" vertical="center"/>
    </xf>
    <xf numFmtId="0" fontId="58" fillId="20" borderId="8" applyAlignment="1" pivotButton="0" quotePrefix="0" xfId="0">
      <alignment horizontal="center" vertical="center" wrapText="1"/>
    </xf>
    <xf numFmtId="0" fontId="57" fillId="22" borderId="8" applyAlignment="1" pivotButton="0" quotePrefix="0" xfId="0">
      <alignment horizontal="left" vertical="center"/>
    </xf>
    <xf numFmtId="164" fontId="57" fillId="22" borderId="8" applyAlignment="1" pivotButton="0" quotePrefix="0" xfId="0">
      <alignment horizontal="left" vertical="center"/>
    </xf>
    <xf numFmtId="165" fontId="57" fillId="22" borderId="8" applyAlignment="1" pivotButton="0" quotePrefix="0" xfId="0">
      <alignment horizontal="left" vertical="center"/>
    </xf>
    <xf numFmtId="166" fontId="57" fillId="22" borderId="8" applyAlignment="1" pivotButton="0" quotePrefix="0" xfId="0">
      <alignment horizontal="left" vertical="center"/>
    </xf>
    <xf numFmtId="3" fontId="57" fillId="22" borderId="8" applyAlignment="1" pivotButton="0" quotePrefix="0" xfId="0">
      <alignment horizontal="left" vertical="center"/>
    </xf>
    <xf numFmtId="186" fontId="57" fillId="22" borderId="8" applyAlignment="1" pivotButton="0" quotePrefix="0" xfId="0">
      <alignment horizontal="right" vertical="center"/>
    </xf>
    <xf numFmtId="0" fontId="0" fillId="0" borderId="11" pivotButton="0" quotePrefix="0" xfId="0"/>
    <xf numFmtId="0" fontId="0" fillId="0" borderId="12" pivotButton="0" quotePrefix="0" xfId="0"/>
    <xf numFmtId="169" fontId="57" fillId="22" borderId="8" applyAlignment="1" pivotButton="0" quotePrefix="0" xfId="0">
      <alignment horizontal="left" vertical="center"/>
    </xf>
    <xf numFmtId="172" fontId="57" fillId="22" borderId="8" applyAlignment="1" pivotButton="0" quotePrefix="0" xfId="0">
      <alignment horizontal="left" vertical="center"/>
    </xf>
    <xf numFmtId="171" fontId="57" fillId="22" borderId="8" applyAlignment="1" pivotButton="0" quotePrefix="0" xfId="0">
      <alignment horizontal="left" vertical="center"/>
    </xf>
    <xf numFmtId="0" fontId="59" fillId="20" borderId="8" applyAlignment="1" pivotButton="0" quotePrefix="0" xfId="0">
      <alignment horizontal="center" vertical="center" wrapText="1"/>
    </xf>
    <xf numFmtId="4" fontId="57" fillId="22" borderId="8" applyAlignment="1" pivotButton="0" quotePrefix="0" xfId="0">
      <alignment horizontal="left" vertical="center"/>
    </xf>
    <xf numFmtId="175" fontId="57" fillId="22" borderId="8" applyAlignment="1" pivotButton="0" quotePrefix="0" xfId="0">
      <alignment horizontal="left" vertical="center"/>
    </xf>
    <xf numFmtId="177" fontId="57" fillId="22" borderId="8" applyAlignment="1" pivotButton="0" quotePrefix="0" xfId="0">
      <alignment horizontal="left" vertical="center"/>
    </xf>
    <xf numFmtId="178" fontId="57" fillId="22" borderId="8" applyAlignment="1" pivotButton="0" quotePrefix="0" xfId="0">
      <alignment horizontal="left" vertical="center"/>
    </xf>
    <xf numFmtId="2" fontId="57" fillId="22" borderId="8" applyAlignment="1" pivotButton="0" quotePrefix="0" xfId="0">
      <alignment horizontal="left" vertical="center"/>
    </xf>
    <xf numFmtId="174" fontId="57" fillId="22" borderId="8" applyAlignment="1" pivotButton="0" quotePrefix="0" xfId="0">
      <alignment horizontal="left" vertical="center"/>
    </xf>
    <xf numFmtId="164" fontId="58" fillId="20" borderId="8" applyAlignment="1" pivotButton="0" quotePrefix="0" xfId="0">
      <alignment horizontal="center" vertical="center" wrapText="1"/>
    </xf>
    <xf numFmtId="165" fontId="58" fillId="20" borderId="8" applyAlignment="1" pivotButton="0" quotePrefix="0" xfId="0">
      <alignment horizontal="center" vertical="center" wrapText="1"/>
    </xf>
    <xf numFmtId="166" fontId="58" fillId="20" borderId="8" applyAlignment="1" pivotButton="0" quotePrefix="0" xfId="0">
      <alignment horizontal="center" vertical="center" wrapText="1"/>
    </xf>
  </cellXfs>
  <cellStyles count="1">
    <cellStyle name="Standard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BF8F00"/>
      <rgbColor rgb="FF800080"/>
      <rgbColor rgb="FF008080"/>
      <rgbColor rgb="FFB0B0B0"/>
      <rgbColor rgb="FF808080"/>
      <rgbColor rgb="FF5B9BD5"/>
      <rgbColor rgb="FF7030A0"/>
      <rgbColor rgb="FFFFF2CC"/>
      <rgbColor rgb="FFDDEBF7"/>
      <rgbColor rgb="FF660066"/>
      <rgbColor rgb="FFFF8080"/>
      <rgbColor rgb="FF2E75B6"/>
      <rgbColor rgb="FFD9E1F2"/>
      <rgbColor rgb="FF000080"/>
      <rgbColor rgb="FFFF00FF"/>
      <rgbColor rgb="FFE8E8E8"/>
      <rgbColor rgb="FF00FFFF"/>
      <rgbColor rgb="FF800080"/>
      <rgbColor rgb="FFCC0000"/>
      <rgbColor rgb="FF008080"/>
      <rgbColor rgb="FF0000CC"/>
      <rgbColor rgb="FF00CCFF"/>
      <rgbColor rgb="FFE8F5E9"/>
      <rgbColor rgb="FFE2EFDA"/>
      <rgbColor rgb="FFFFF3E0"/>
      <rgbColor rgb="FFD6E4F0"/>
      <rgbColor rgb="FFFDE8E8"/>
      <rgbColor rgb="FFDCE6F1"/>
      <rgbColor rgb="FFFCE4EC"/>
      <rgbColor rgb="FF4472C4"/>
      <rgbColor rgb="FF33CCCC"/>
      <rgbColor rgb="FF70AD47"/>
      <rgbColor rgb="FFF2F2F2"/>
      <rgbColor rgb="FFFF8C00"/>
      <rgbColor rgb="FFED7D31"/>
      <rgbColor rgb="FF666666"/>
      <rgbColor rgb="FF999999"/>
      <rgbColor rgb="FF1F4E79"/>
      <rgbColor rgb="FF00B050"/>
      <rgbColor rgb="FF0061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styles" Target="styles.xml" Id="rId20"/><Relationship Type="http://schemas.openxmlformats.org/officeDocument/2006/relationships/theme" Target="theme/theme1.xml" Id="rId21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A1628"/>
    <outlinePr summaryBelow="1" summaryRight="1"/>
    <pageSetUpPr/>
  </sheetPr>
  <dimension ref="A1:C54"/>
  <sheetViews>
    <sheetView topLeftCell="A44" zoomScale="180" zoomScaleNormal="180" workbookViewId="0">
      <pane ySplit="1" topLeftCell="A2" activePane="bottomLeft" state="frozen"/>
      <selection pane="bottomLeft" activeCell="C36" sqref="C36"/>
    </sheetView>
  </sheetViews>
  <sheetFormatPr baseColWidth="10" defaultColWidth="8.6640625" defaultRowHeight="15" customHeight="1"/>
  <cols>
    <col width="10" customWidth="1" min="1" max="1"/>
    <col width="30" customWidth="1" min="2" max="2"/>
    <col width="30" customWidth="1" min="3" max="3"/>
  </cols>
  <sheetData>
    <row r="1" ht="25" customHeight="1">
      <c r="B1" s="405" t="inlineStr">
        <is>
          <t>PHYOX BioGenesis</t>
        </is>
      </c>
    </row>
    <row r="2" ht="25" customHeight="1">
      <c r="B2" s="405" t="inlineStr">
        <is>
          <t>Investor Financial Model – Executive Summary</t>
        </is>
      </c>
    </row>
    <row r="3" ht="25" customHeight="1">
      <c r="B3" s="405" t="inlineStr">
        <is>
          <t>Stand: März 2026 | Base Case | Seed/Pre-Series A | Holding: NovaVersum GmbH</t>
        </is>
      </c>
    </row>
    <row r="4"/>
    <row r="5" ht="25" customHeight="1">
      <c r="B5" s="405" t="inlineStr">
        <is>
          <t>KEY INVESTMENT METRICS</t>
        </is>
      </c>
    </row>
    <row r="6" ht="25" customHeight="1">
      <c r="B6" s="405" t="inlineStr">
        <is>
          <t>UNTERNEHMENSBEWERTUNG</t>
        </is>
      </c>
      <c r="C6" s="19" t="n"/>
    </row>
    <row r="7" ht="25" customHeight="1">
      <c r="B7" s="405" t="inlineStr">
        <is>
          <t>Enterprise Value (DCF)</t>
        </is>
      </c>
      <c r="C7" s="424">
        <f>'DCF-Bewertung'!C34</f>
        <v/>
      </c>
    </row>
    <row r="8" ht="25" customHeight="1">
      <c r="B8" s="405" t="inlineStr">
        <is>
          <t>Equity Value</t>
        </is>
      </c>
      <c r="C8" s="424">
        <f>'DCF-Bewertung'!C36</f>
        <v/>
      </c>
    </row>
    <row r="9" ht="25" customHeight="1">
      <c r="B9" s="405" t="inlineStr">
        <is>
          <t>Pre-Money Bewertung (Seed)</t>
        </is>
      </c>
      <c r="C9" s="424">
        <f>'Cap Table'!C12</f>
        <v/>
      </c>
    </row>
    <row r="10" ht="25" customHeight="1">
      <c r="B10" s="405" t="inlineStr">
        <is>
          <t>Nettoverschuldung (Bank+KfW)</t>
        </is>
      </c>
      <c r="C10" s="424">
        <f>'DCF-Bewertung'!C35</f>
        <v/>
      </c>
    </row>
    <row r="11" ht="25" customHeight="1">
      <c r="B11" s="405" t="inlineStr">
        <is>
          <t>RENDITEKENNZAHLEN</t>
        </is>
      </c>
      <c r="C11" s="19" t="n"/>
    </row>
    <row r="12" ht="25" customHeight="1">
      <c r="B12" s="405" t="inlineStr">
        <is>
          <t>MOIC (10 Jahre)</t>
        </is>
      </c>
      <c r="C12" s="425">
        <f>'DCF-Bewertung'!C42</f>
        <v/>
      </c>
    </row>
    <row r="13" ht="25" customHeight="1">
      <c r="B13" s="405" t="inlineStr">
        <is>
          <t>IRR (10 Jahre)</t>
        </is>
      </c>
      <c r="C13" s="426">
        <f>'DCF-Bewertung'!C41</f>
        <v/>
      </c>
    </row>
    <row r="14" ht="25" customHeight="1">
      <c r="B14" s="405" t="inlineStr">
        <is>
          <t>WACC</t>
        </is>
      </c>
      <c r="C14" s="426">
        <f>Annahmen!$C$35</f>
        <v/>
      </c>
    </row>
    <row r="15"/>
    <row r="16" ht="25" customHeight="1">
      <c r="B16" s="405" t="inlineStr">
        <is>
          <t>REVENUE HIGHLIGHTS</t>
        </is>
      </c>
      <c r="C16" s="19" t="n"/>
    </row>
    <row r="17" ht="25" customHeight="1">
      <c r="B17" s="405" t="inlineStr">
        <is>
          <t>Umsatz Jahr 1 (Brutto)</t>
        </is>
      </c>
      <c r="C17" s="424">
        <f>'Plan-GuV'!AN11</f>
        <v/>
      </c>
    </row>
    <row r="18" ht="25" customHeight="1">
      <c r="B18" s="405" t="inlineStr">
        <is>
          <t>Umsatz Jahr 5 (Brutto)</t>
        </is>
      </c>
      <c r="C18" s="424">
        <f>'Plan-GuV'!AZ11</f>
        <v/>
      </c>
    </row>
    <row r="19" ht="25" customHeight="1">
      <c r="B19" s="405" t="inlineStr">
        <is>
          <t>Revenue CAGR (J1-J5)</t>
        </is>
      </c>
      <c r="C19" s="426">
        <f>(C18/C17)^(1/4)-1</f>
        <v/>
      </c>
    </row>
    <row r="20"/>
    <row r="21" ht="25" customHeight="1">
      <c r="B21" s="405" t="inlineStr">
        <is>
          <t>PROFITABILITÄT</t>
        </is>
      </c>
      <c r="C21" s="19" t="n"/>
    </row>
    <row r="22" ht="25" customHeight="1">
      <c r="B22" s="405" t="inlineStr">
        <is>
          <t>EBITDA-Marge Jahr 1</t>
        </is>
      </c>
      <c r="C22" s="426">
        <f>'Plan-GuV'!AN31</f>
        <v/>
      </c>
    </row>
    <row r="23" ht="25" customHeight="1">
      <c r="B23" s="405" t="inlineStr">
        <is>
          <t>Nettomarge Jahr 5</t>
        </is>
      </c>
      <c r="C23" s="426">
        <f>'Plan-GuV'!AZ49</f>
        <v/>
      </c>
    </row>
    <row r="24" ht="25" customHeight="1">
      <c r="B24" s="405" t="inlineStr">
        <is>
          <t>Jahresüberschuss Jahr 5</t>
        </is>
      </c>
      <c r="C24" s="424">
        <f>'Plan-GuV'!AZ48</f>
        <v/>
      </c>
    </row>
    <row r="25" ht="25" customHeight="1">
      <c r="B25" s="405" t="inlineStr">
        <is>
          <t>Kumulierter Cashflow J5</t>
        </is>
      </c>
      <c r="C25" s="424">
        <f>'Plan-Cashflow'!AZ25</f>
        <v/>
      </c>
    </row>
    <row r="26"/>
    <row r="27" ht="25" customHeight="1">
      <c r="B27" s="405" t="inlineStr">
        <is>
          <t>INVESTITIONSSTRUKTUR</t>
        </is>
      </c>
      <c r="C27" s="19" t="n"/>
    </row>
    <row r="28" ht="25" customHeight="1">
      <c r="B28" s="405" t="inlineStr">
        <is>
          <t>CAPEX gesamt</t>
        </is>
      </c>
      <c r="C28" s="424">
        <f>CAPEX!C20</f>
        <v/>
      </c>
    </row>
    <row r="29" ht="25" customHeight="1">
      <c r="B29" s="405" t="inlineStr">
        <is>
          <t>Eigenkapital</t>
        </is>
      </c>
      <c r="C29" s="424">
        <f>C28*Annahmen!$C$42</f>
        <v/>
      </c>
    </row>
    <row r="30" ht="25" customHeight="1">
      <c r="B30" s="405" t="inlineStr">
        <is>
          <t>Bankdarlehen</t>
        </is>
      </c>
      <c r="C30" s="424">
        <f>C28*Annahmen!$C$43</f>
        <v/>
      </c>
    </row>
    <row r="31" ht="25" customHeight="1">
      <c r="B31" s="405" t="inlineStr">
        <is>
          <t>Fördermittel</t>
        </is>
      </c>
      <c r="C31" s="424">
        <f>C28*Annahmen!$C$44</f>
        <v/>
      </c>
    </row>
    <row r="32" ht="25" customHeight="1">
      <c r="B32" s="405" t="inlineStr">
        <is>
          <t>KfW/Impact</t>
        </is>
      </c>
      <c r="C32" s="424">
        <f>C28*Annahmen!$C$45</f>
        <v/>
      </c>
    </row>
    <row r="33"/>
    <row r="34" ht="25" customHeight="1">
      <c r="B34" s="405" t="inlineStr">
        <is>
          <t>SEED-RUNDE</t>
        </is>
      </c>
      <c r="C34" s="19" t="n"/>
    </row>
    <row r="35" ht="25" customHeight="1">
      <c r="B35" s="405" t="inlineStr">
        <is>
          <t>Seed Investment (Ziel)</t>
        </is>
      </c>
      <c r="C35" s="424">
        <f>'Cap Table'!C13</f>
        <v/>
      </c>
    </row>
    <row r="36" ht="25" customHeight="1">
      <c r="B36" s="405" t="inlineStr">
        <is>
          <t>Investoren-Anteil</t>
        </is>
      </c>
      <c r="C36" s="426">
        <f>'Cap Table'!C15</f>
        <v/>
      </c>
    </row>
    <row r="37" ht="25" customHeight="1">
      <c r="B37" s="405" t="inlineStr">
        <is>
          <t>Gründer-Anteil</t>
        </is>
      </c>
      <c r="C37" s="426">
        <f>'Cap Table'!C16</f>
        <v/>
      </c>
    </row>
    <row r="38"/>
    <row r="39" ht="25" customHeight="1">
      <c r="B39" s="405" t="inlineStr">
        <is>
          <t>Modellstruktur: 19 Sheets | 5.219 Formeln</t>
        </is>
      </c>
    </row>
    <row r="40" ht="25" customHeight="1">
      <c r="B40" s="405" t="inlineStr">
        <is>
          <t>MODELLSTRUKTUR</t>
        </is>
      </c>
    </row>
    <row r="41" ht="25" customHeight="1">
      <c r="A41" s="30" t="n"/>
      <c r="B41" s="405" t="inlineStr">
        <is>
          <t>Sheet</t>
        </is>
      </c>
      <c r="C41" s="405" t="inlineStr">
        <is>
          <t>Inhalt</t>
        </is>
      </c>
    </row>
    <row r="42" ht="25" customHeight="1">
      <c r="B42" s="405" t="inlineStr">
        <is>
          <t>Investor Dashboard</t>
        </is>
      </c>
      <c r="C42" s="405" t="inlineStr">
        <is>
          <t>Executive Summary &amp; Key Metrics</t>
        </is>
      </c>
    </row>
    <row r="43" ht="25" customHeight="1">
      <c r="B43" s="405" t="inlineStr">
        <is>
          <t>Plan-GuV</t>
        </is>
      </c>
      <c r="C43" s="405" t="inlineStr">
        <is>
          <t>Gewinn- &amp; Verlustrechnung (M1-M36, Q13-Q20)</t>
        </is>
      </c>
    </row>
    <row r="44" ht="25" customHeight="1">
      <c r="B44" s="405" t="inlineStr">
        <is>
          <t>Plan-Bilanz</t>
        </is>
      </c>
      <c r="C44" s="405" t="inlineStr">
        <is>
          <t>Bilanz / Balance Sheet (M1-M36, Q13-Q20)</t>
        </is>
      </c>
    </row>
    <row r="45" ht="25" customHeight="1">
      <c r="B45" s="405" t="inlineStr">
        <is>
          <t>Plan-Cashflow</t>
        </is>
      </c>
      <c r="C45" s="405" t="inlineStr">
        <is>
          <t>Kapitalflussrechnung (M1-M36, Q13-Q20)</t>
        </is>
      </c>
    </row>
    <row r="46" ht="25" customHeight="1">
      <c r="B46" s="405" t="inlineStr">
        <is>
          <t>DCF-Bewertung</t>
        </is>
      </c>
      <c r="C46" s="405" t="inlineStr">
        <is>
          <t>Unternehmensbewertung, FCF, IRR, MOIC</t>
        </is>
      </c>
    </row>
    <row r="47" ht="25" customHeight="1">
      <c r="B47" s="405" t="inlineStr">
        <is>
          <t>Cap Table</t>
        </is>
      </c>
      <c r="C47" s="405" t="inlineStr">
        <is>
          <t>Beteiligungsstruktur &amp; Verwässerung</t>
        </is>
      </c>
    </row>
    <row r="48" ht="25" customHeight="1">
      <c r="B48" s="405" t="inlineStr">
        <is>
          <t>Annahmen</t>
        </is>
      </c>
      <c r="C48" s="405" t="inlineStr">
        <is>
          <t>Alle Steuerungsparameter &amp; Szenarien</t>
        </is>
      </c>
    </row>
    <row r="49" ht="25" customHeight="1">
      <c r="B49" s="405" t="inlineStr">
        <is>
          <t>CAPEX</t>
        </is>
      </c>
      <c r="C49" s="405" t="inlineStr">
        <is>
          <t>Investitionsstruktur &amp; Abschreibungen</t>
        </is>
      </c>
    </row>
    <row r="50" ht="25" customHeight="1">
      <c r="B50" s="405" t="inlineStr">
        <is>
          <t>OPEX Fix/Variabel</t>
        </is>
      </c>
      <c r="C50" s="405" t="inlineStr">
        <is>
          <t>Personal- &amp; Betriebskosten</t>
        </is>
      </c>
    </row>
    <row r="51" ht="25" customHeight="1">
      <c r="B51" s="405" t="inlineStr">
        <is>
          <t>Vollkosten / DB &amp; BE</t>
        </is>
      </c>
      <c r="C51" s="405" t="inlineStr">
        <is>
          <t>Vollkosten, Deckungsbeitrag, Break-Even</t>
        </is>
      </c>
    </row>
    <row r="52" ht="25" customHeight="1">
      <c r="B52" s="405" t="inlineStr">
        <is>
          <t>Umsatz</t>
        </is>
      </c>
      <c r="C52" s="405" t="inlineStr">
        <is>
          <t>3-Kanal-Umsatzprojektion (10 Jahre)</t>
        </is>
      </c>
    </row>
    <row r="53" ht="25" customHeight="1">
      <c r="B53" s="405" t="inlineStr">
        <is>
          <t>Marketing &amp; Vertrieb</t>
        </is>
      </c>
      <c r="C53" s="405" t="inlineStr">
        <is>
          <t>Marketing-Budget, ROAS, Benchmarks</t>
        </is>
      </c>
    </row>
    <row r="54" ht="25" customHeight="1">
      <c r="B54" s="405" t="inlineStr">
        <is>
          <t>B2B/B2C Preisreferenz</t>
        </is>
      </c>
      <c r="C54" s="405" t="inlineStr">
        <is>
          <t>Marktpreisstatistik &amp; Szenarien</t>
        </is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10.xml><?xml version="1.0" encoding="utf-8"?>
<worksheet xmlns="http://schemas.openxmlformats.org/spreadsheetml/2006/main">
  <sheetPr>
    <tabColor rgb="00F5A623"/>
    <outlinePr summaryBelow="1" summaryRight="1"/>
    <pageSetUpPr/>
  </sheetPr>
  <dimension ref="B1:F42"/>
  <sheetViews>
    <sheetView zoomScaleNormal="100" workbookViewId="0">
      <pane ySplit="1" topLeftCell="A2" activePane="bottomLeft" state="frozen"/>
      <selection pane="bottomLeft" activeCell="B1" sqref="B1"/>
      <selection pane="bottomLeft" activeCell="A4" sqref="A4"/>
      <selection pane="bottomRigh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28" customWidth="1" min="3" max="5"/>
    <col width="19" customWidth="1" min="4" max="4"/>
    <col width="13" customWidth="1" min="5" max="5"/>
    <col width="30" customWidth="1" min="6" max="6"/>
  </cols>
  <sheetData>
    <row r="1" ht="24" customHeight="1">
      <c r="B1" s="405" t="inlineStr">
        <is>
          <t>PHYOX BioGenesis (NovaVersum GmbH) – OPEX Variabel</t>
        </is>
      </c>
      <c r="C1" s="412" t="n"/>
      <c r="D1" s="412" t="n"/>
      <c r="E1" s="412" t="n"/>
      <c r="F1" s="413" t="n"/>
    </row>
    <row r="2" ht="15" customHeight="1">
      <c r="B2" s="406" t="inlineStr">
        <is>
          <t>Variable Kosten (skalieren mit Produktionsmenge)</t>
        </is>
      </c>
      <c r="C2" s="412" t="n"/>
      <c r="D2" s="412" t="n"/>
      <c r="E2" s="412" t="n"/>
      <c r="F2" s="413" t="n"/>
    </row>
    <row r="3"/>
    <row r="4" ht="15" customHeight="1">
      <c r="B4" s="325" t="inlineStr">
        <is>
          <t>A. VARIABLE BETRIEBSKOSTEN</t>
        </is>
      </c>
      <c r="C4" s="412" t="n"/>
      <c r="D4" s="412" t="n"/>
      <c r="E4" s="412" t="n"/>
      <c r="F4" s="413" t="n"/>
    </row>
    <row r="5" ht="15" customHeight="1">
      <c r="B5" s="334" t="inlineStr">
        <is>
          <t>Position</t>
        </is>
      </c>
      <c r="C5" s="334" t="inlineStr">
        <is>
          <t>Jahr (€)</t>
        </is>
      </c>
      <c r="D5" s="334" t="inlineStr">
        <is>
          <t>Kosten/kg (€)</t>
        </is>
      </c>
      <c r="E5" s="334" t="inlineStr">
        <is>
          <t>Anteil (%)</t>
        </is>
      </c>
      <c r="F5" s="334" t="inlineStr">
        <is>
          <t>Kostentreiber</t>
        </is>
      </c>
    </row>
    <row r="6" ht="15" customHeight="1">
      <c r="B6" s="335" t="inlineStr">
        <is>
          <t>Wasserverbrauch</t>
        </is>
      </c>
      <c r="C6" s="361">
        <f>Annahmen!C30</f>
        <v/>
      </c>
      <c r="D6" s="358">
        <f>C6/Annahmen!C11</f>
        <v/>
      </c>
      <c r="E6" s="357">
        <f>C6/C10</f>
        <v/>
      </c>
      <c r="F6" s="335" t="inlineStr">
        <is>
          <t>Verdunstung 1%/Tag</t>
        </is>
      </c>
    </row>
    <row r="7" ht="15" customHeight="1">
      <c r="B7" s="314" t="inlineStr">
        <is>
          <t>Nährstoffe + CO₂</t>
        </is>
      </c>
      <c r="C7" s="341">
        <f>Annahmen!C57</f>
        <v/>
      </c>
      <c r="D7" s="359">
        <f>C7/Annahmen!C11</f>
        <v/>
      </c>
      <c r="E7" s="318">
        <f>C7/C10</f>
        <v/>
      </c>
      <c r="F7" s="314" t="inlineStr">
        <is>
          <t>Biomassewachstum</t>
        </is>
      </c>
    </row>
    <row r="8" ht="15" customHeight="1">
      <c r="B8" s="335" t="inlineStr">
        <is>
          <t>Laufende Wartung</t>
        </is>
      </c>
      <c r="C8" s="361">
        <f>Annahmen!C58</f>
        <v/>
      </c>
      <c r="D8" s="358">
        <f>C8/Annahmen!C11</f>
        <v/>
      </c>
      <c r="E8" s="357">
        <f>C8/C10</f>
        <v/>
      </c>
      <c r="F8" s="335" t="inlineStr">
        <is>
          <t>Verschleiß, Verbrauch</t>
        </is>
      </c>
    </row>
    <row r="9" ht="15" customHeight="1">
      <c r="B9" s="314" t="inlineStr">
        <is>
          <t>Verbrauchsmaterial</t>
        </is>
      </c>
      <c r="C9" s="341">
        <f>Annahmen!C59</f>
        <v/>
      </c>
      <c r="D9" s="359">
        <f>C9/Annahmen!C11</f>
        <v/>
      </c>
      <c r="E9" s="318">
        <f>C9/C10</f>
        <v/>
      </c>
      <c r="F9" s="314" t="inlineStr">
        <is>
          <t>Reinigung, Hilfsstoffe</t>
        </is>
      </c>
    </row>
    <row r="10" ht="15" customHeight="1">
      <c r="B10" s="326" t="inlineStr">
        <is>
          <t>SUMME OPEX VARIABEL</t>
        </is>
      </c>
      <c r="C10" s="343">
        <f>SUM(C6:C9)</f>
        <v/>
      </c>
      <c r="D10" s="360">
        <f>C10/Annahmen!C11</f>
        <v/>
      </c>
      <c r="E10" s="344">
        <f>SUM(E6:E9)</f>
        <v/>
      </c>
      <c r="F10" s="160" t="n"/>
    </row>
    <row r="12" ht="15" customHeight="1">
      <c r="B12" s="325" t="inlineStr">
        <is>
          <t>B. DETAILRECHNUNG WASSERVERBRAUCH</t>
        </is>
      </c>
      <c r="C12" s="412" t="n"/>
      <c r="D12" s="412" t="n"/>
      <c r="E12" s="412" t="n"/>
      <c r="F12" s="413" t="n"/>
    </row>
    <row r="13" ht="15" customHeight="1">
      <c r="B13" s="334" t="inlineStr">
        <is>
          <t>Parameter</t>
        </is>
      </c>
      <c r="C13" s="334" t="inlineStr">
        <is>
          <t>Wert</t>
        </is>
      </c>
      <c r="D13" s="81" t="n"/>
      <c r="E13" s="81" t="n"/>
      <c r="F13" s="334" t="inlineStr">
        <is>
          <t>Herleitung</t>
        </is>
      </c>
    </row>
    <row r="14" ht="15" customHeight="1">
      <c r="B14" s="335" t="inlineStr">
        <is>
          <t>Systemvolumen</t>
        </is>
      </c>
      <c r="C14" s="364">
        <f>Annahmen!C8</f>
        <v/>
      </c>
      <c r="D14" s="82" t="n"/>
      <c r="E14" s="82" t="n"/>
      <c r="F14" s="335" t="inlineStr">
        <is>
          <t>11 PBR × 10.000 L</t>
        </is>
      </c>
    </row>
    <row r="15" ht="15" customHeight="1">
      <c r="B15" s="314" t="inlineStr">
        <is>
          <t>Verdunstungsrate/Tag</t>
        </is>
      </c>
      <c r="C15" s="318">
        <f>Annahmen!C12</f>
        <v/>
      </c>
      <c r="D15" s="86" t="n"/>
      <c r="E15" s="86" t="n"/>
      <c r="F15" s="314" t="inlineStr">
        <is>
          <t>Aus Annahmen-Sheet</t>
        </is>
      </c>
    </row>
    <row r="16" ht="15" customHeight="1">
      <c r="B16" s="335" t="inlineStr">
        <is>
          <t>Täglicher Verlust</t>
        </is>
      </c>
      <c r="C16" s="365">
        <f>Annahmen!C28</f>
        <v/>
      </c>
      <c r="D16" s="82" t="n"/>
      <c r="E16" s="82" t="n"/>
      <c r="F16" s="335" t="inlineStr">
        <is>
          <t>Volumen × Rate</t>
        </is>
      </c>
    </row>
    <row r="17" ht="15" customHeight="1">
      <c r="B17" s="314" t="inlineStr">
        <is>
          <t>Jahresbedarf</t>
        </is>
      </c>
      <c r="C17" s="366">
        <f>Annahmen!C29</f>
        <v/>
      </c>
      <c r="D17" s="86" t="n"/>
      <c r="E17" s="86" t="n"/>
      <c r="F17" s="314" t="inlineStr">
        <is>
          <t>Tagesverlust × 365</t>
        </is>
      </c>
    </row>
    <row r="18" ht="15" customHeight="1">
      <c r="B18" s="335" t="inlineStr">
        <is>
          <t>Wasserpreis</t>
        </is>
      </c>
      <c r="C18" s="367">
        <f>Annahmen!C27</f>
        <v/>
      </c>
      <c r="D18" s="82" t="n"/>
      <c r="E18" s="82" t="n"/>
      <c r="F18" s="335" t="inlineStr">
        <is>
          <t>Aufbereitetes Prozesswasser</t>
        </is>
      </c>
    </row>
    <row r="19" ht="15" customHeight="1">
      <c r="B19" s="314" t="inlineStr">
        <is>
          <t>Jahreskosten</t>
        </is>
      </c>
      <c r="C19" s="341">
        <f>Annahmen!C30</f>
        <v/>
      </c>
      <c r="D19" s="86" t="n"/>
      <c r="E19" s="86" t="n"/>
      <c r="F19" s="314" t="inlineStr">
        <is>
          <t>Jahresbedarf × Preis</t>
        </is>
      </c>
    </row>
    <row r="20" ht="15" customHeight="1">
      <c r="B20" s="335" t="inlineStr">
        <is>
          <t>Verbrauch pro kg Biomasse</t>
        </is>
      </c>
      <c r="C20" s="368">
        <f>Annahmen!C29/Annahmen!C11</f>
        <v/>
      </c>
      <c r="D20" s="82" t="n"/>
      <c r="E20" s="82" t="n"/>
      <c r="F20" s="335" t="inlineStr">
        <is>
          <t>Jahresbedarf / Produktion</t>
        </is>
      </c>
    </row>
    <row r="22" ht="15" customHeight="1">
      <c r="B22" s="325" t="inlineStr">
        <is>
          <t>C. DETAILRECHNUNG NÄHRSTOFFE + CO₂</t>
        </is>
      </c>
      <c r="C22" s="412" t="n"/>
      <c r="D22" s="412" t="n"/>
      <c r="E22" s="412" t="n"/>
      <c r="F22" s="413" t="n"/>
    </row>
    <row r="23" ht="15" customHeight="1">
      <c r="B23" s="334" t="inlineStr">
        <is>
          <t>Position</t>
        </is>
      </c>
      <c r="C23" s="334" t="inlineStr">
        <is>
          <t>Jahr (€)</t>
        </is>
      </c>
      <c r="D23" s="334" t="inlineStr">
        <is>
          <t>Monat (€)</t>
        </is>
      </c>
      <c r="E23" s="81" t="n"/>
      <c r="F23" s="334" t="inlineStr">
        <is>
          <t>Beschreibung</t>
        </is>
      </c>
    </row>
    <row r="24" ht="15" customHeight="1">
      <c r="B24" s="335" t="inlineStr">
        <is>
          <t>Stickstoffquellen (Nitrat, Harnstoff)</t>
        </is>
      </c>
      <c r="C24" s="361">
        <f>Annahmen!C53</f>
        <v/>
      </c>
      <c r="D24" s="361">
        <f>C24/12</f>
        <v/>
      </c>
      <c r="E24" s="82" t="n"/>
      <c r="F24" s="335" t="inlineStr">
        <is>
          <t>Hauptnährstoff</t>
        </is>
      </c>
    </row>
    <row r="25" ht="15" customHeight="1">
      <c r="B25" s="314" t="inlineStr">
        <is>
          <t>CO₂-Versorgung inkl. Tankmiete</t>
        </is>
      </c>
      <c r="C25" s="341">
        <f>Annahmen!C54</f>
        <v/>
      </c>
      <c r="D25" s="341">
        <f>C25/12</f>
        <v/>
      </c>
      <c r="E25" s="86" t="n"/>
      <c r="F25" s="314" t="inlineStr">
        <is>
          <t>Linde-Liefervertrag</t>
        </is>
      </c>
    </row>
    <row r="26" ht="15" customHeight="1">
      <c r="B26" s="335" t="inlineStr">
        <is>
          <t>Spurenelemente (Fe, Mn, Zn etc.)</t>
        </is>
      </c>
      <c r="C26" s="361">
        <f>Annahmen!C55</f>
        <v/>
      </c>
      <c r="D26" s="361">
        <f>C26/12</f>
        <v/>
      </c>
      <c r="E26" s="82" t="n"/>
      <c r="F26" s="335" t="inlineStr">
        <is>
          <t>Mikronährstoffe</t>
        </is>
      </c>
    </row>
    <row r="27" ht="15" customHeight="1">
      <c r="B27" s="314" t="inlineStr">
        <is>
          <t>Phosphat</t>
        </is>
      </c>
      <c r="C27" s="341">
        <f>Annahmen!C56</f>
        <v/>
      </c>
      <c r="D27" s="341">
        <f>C27/12</f>
        <v/>
      </c>
      <c r="E27" s="86" t="n"/>
      <c r="F27" s="314" t="inlineStr">
        <is>
          <t>Phosphat-Quelle</t>
        </is>
      </c>
    </row>
    <row r="28" ht="15" customHeight="1">
      <c r="B28" s="326" t="inlineStr">
        <is>
          <t>SUMME NÄHRSTOFFE + CO₂</t>
        </is>
      </c>
      <c r="C28" s="343">
        <f>SUM(C24:C27)</f>
        <v/>
      </c>
      <c r="D28" s="343">
        <f>C28/12</f>
        <v/>
      </c>
      <c r="E28" s="172" t="n"/>
      <c r="F28" s="160" t="n"/>
    </row>
    <row r="29" ht="15" customHeight="1">
      <c r="B29" s="314" t="inlineStr">
        <is>
          <t>Nährstoffkosten pro kg Biomasse</t>
        </is>
      </c>
      <c r="C29" s="359">
        <f>C28/Annahmen!C11</f>
        <v/>
      </c>
    </row>
    <row r="31" ht="15" customHeight="1">
      <c r="B31" s="325" t="inlineStr">
        <is>
          <t>D. GESAMTÜBERSICHT OPEX (Fix + Variabel)</t>
        </is>
      </c>
      <c r="C31" s="412" t="n"/>
      <c r="D31" s="412" t="n"/>
      <c r="E31" s="412" t="n"/>
      <c r="F31" s="413" t="n"/>
    </row>
    <row r="32" ht="15" customHeight="1">
      <c r="B32" s="334" t="inlineStr">
        <is>
          <t>Kostenkategorie</t>
        </is>
      </c>
      <c r="C32" s="334" t="inlineStr">
        <is>
          <t>Jahr (€)</t>
        </is>
      </c>
      <c r="D32" s="334" t="inlineStr">
        <is>
          <t>Kosten/kg (€)</t>
        </is>
      </c>
      <c r="E32" s="334" t="inlineStr">
        <is>
          <t>Anteil (%)</t>
        </is>
      </c>
      <c r="F32" s="81" t="n"/>
    </row>
    <row r="33" ht="15" customHeight="1">
      <c r="B33" s="335" t="inlineStr">
        <is>
          <t>Personal fix</t>
        </is>
      </c>
      <c r="C33" s="361">
        <f>'OPEX Fix'!C14</f>
        <v/>
      </c>
      <c r="D33" s="358">
        <f>C33/Annahmen!C11</f>
        <v/>
      </c>
      <c r="E33" s="318">
        <f>C33/C36</f>
        <v/>
      </c>
      <c r="F33" s="156" t="n"/>
    </row>
    <row r="34" ht="15" customHeight="1">
      <c r="B34" s="406" t="inlineStr">
        <is>
          <t>Betrieb fix</t>
        </is>
      </c>
      <c r="C34" s="415">
        <f>'OPEX Fix'!C26</f>
        <v/>
      </c>
      <c r="D34" s="421">
        <f>C34/Annahmen!C11</f>
        <v/>
      </c>
      <c r="E34" s="409">
        <f>C34/C36</f>
        <v/>
      </c>
      <c r="F34" s="85" t="n"/>
    </row>
    <row r="35" ht="15" customHeight="1">
      <c r="B35" s="335" t="inlineStr">
        <is>
          <t>OPEX variabel</t>
        </is>
      </c>
      <c r="C35" s="361">
        <f>C10</f>
        <v/>
      </c>
      <c r="D35" s="358">
        <f>C35/Annahmen!C11</f>
        <v/>
      </c>
      <c r="E35" s="318">
        <f>C35/C36</f>
        <v/>
      </c>
      <c r="F35" s="156" t="n"/>
    </row>
    <row r="36" ht="15" customHeight="1">
      <c r="B36" s="326" t="inlineStr">
        <is>
          <t>GESAMT OPEX</t>
        </is>
      </c>
      <c r="C36" s="343">
        <f>SUM(C33:C35)</f>
        <v/>
      </c>
      <c r="D36" s="360">
        <f>C36/Annahmen!C11</f>
        <v/>
      </c>
      <c r="E36" s="344">
        <f>1</f>
        <v/>
      </c>
      <c r="F36" s="160" t="n"/>
    </row>
    <row r="38" ht="15" customHeight="1">
      <c r="B38" s="325" t="inlineStr">
        <is>
          <t>E. KOSTENSTRUKTUR-ANALYSE</t>
        </is>
      </c>
      <c r="C38" s="412" t="n"/>
      <c r="D38" s="412" t="n"/>
      <c r="E38" s="412" t="n"/>
      <c r="F38" s="413" t="n"/>
    </row>
    <row r="39" ht="15" customHeight="1">
      <c r="B39" s="335" t="inlineStr">
        <is>
          <t>Personalintensität</t>
        </is>
      </c>
      <c r="C39" s="357">
        <f>C33/C36</f>
        <v/>
      </c>
      <c r="D39" s="82" t="n"/>
      <c r="E39" s="82" t="n"/>
      <c r="F39" s="335" t="inlineStr">
        <is>
          <t>Anteil Personal an Gesamt-OPEX</t>
        </is>
      </c>
    </row>
    <row r="40" ht="15" customHeight="1">
      <c r="B40" s="406" t="inlineStr">
        <is>
          <t>Energieintensität</t>
        </is>
      </c>
      <c r="C40" s="409">
        <f>'OPEX Fix'!C18/C36</f>
        <v/>
      </c>
      <c r="D40" s="86" t="n"/>
      <c r="E40" s="86" t="n"/>
      <c r="F40" s="406" t="inlineStr">
        <is>
          <t>Anteil Energie an Gesamt-OPEX</t>
        </is>
      </c>
    </row>
    <row r="41" ht="15" customHeight="1">
      <c r="B41" s="335" t="inlineStr">
        <is>
          <t>Materialintensität (variabel)</t>
        </is>
      </c>
      <c r="C41" s="357">
        <f>C35/C36</f>
        <v/>
      </c>
      <c r="D41" s="82" t="n"/>
      <c r="E41" s="82" t="n"/>
      <c r="F41" s="335" t="inlineStr">
        <is>
          <t>Anteil variable Kosten an Gesamt-OPEX</t>
        </is>
      </c>
    </row>
    <row r="42" ht="15" customHeight="1">
      <c r="B42" s="406" t="inlineStr">
        <is>
          <t>Fixkostenanteil</t>
        </is>
      </c>
      <c r="C42" s="409">
        <f>(C33+C34)/C36</f>
        <v/>
      </c>
      <c r="D42" s="86" t="n"/>
      <c r="E42" s="86" t="n"/>
      <c r="F42" s="406" t="inlineStr">
        <is>
          <t>Anteil Fixkosten an Gesamt-OPEX</t>
        </is>
      </c>
    </row>
  </sheetData>
  <mergeCells count="7">
    <mergeCell ref="B4:F4"/>
    <mergeCell ref="B12:F12"/>
    <mergeCell ref="B38:F38"/>
    <mergeCell ref="B2:F2"/>
    <mergeCell ref="B31:F31"/>
    <mergeCell ref="B1:F1"/>
    <mergeCell ref="B22:F22"/>
  </mergeCells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11.xml><?xml version="1.0" encoding="utf-8"?>
<worksheet xmlns="http://schemas.openxmlformats.org/spreadsheetml/2006/main">
  <sheetPr>
    <tabColor rgb="000A1628"/>
    <outlinePr summaryBelow="1" summaryRight="1"/>
    <pageSetUpPr/>
  </sheetPr>
  <dimension ref="B1:F38"/>
  <sheetViews>
    <sheetView zoomScaleNormal="100" workbookViewId="0">
      <pane ySplit="1" topLeftCell="A2" activePane="bottomLeft" state="frozen"/>
      <selection pane="bottomLeft" activeCell="B1" sqref="B1"/>
      <selection pane="bottomLeft" activeCell="A6" sqref="A6"/>
      <selection pane="bottomRigh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14" customWidth="1" min="3" max="5"/>
    <col width="10" customWidth="1" min="4" max="4"/>
    <col width="10" customWidth="1" min="5" max="5"/>
    <col width="30" customWidth="1" min="6" max="6"/>
  </cols>
  <sheetData>
    <row r="1" ht="24" customHeight="1">
      <c r="B1" s="405" t="inlineStr">
        <is>
          <t>PHYOX BioGenesis – B2B Preisreferenz</t>
        </is>
      </c>
      <c r="C1" s="412" t="n"/>
      <c r="D1" s="412" t="n"/>
      <c r="E1" s="412" t="n"/>
      <c r="F1" s="413" t="n"/>
    </row>
    <row r="2" ht="15" customHeight="1">
      <c r="B2" s="406" t="inlineStr">
        <is>
          <t>Statistische Auswertung | n=150+ Datenpunkte | Stand: Feb. 2026</t>
        </is>
      </c>
      <c r="C2" s="412" t="n"/>
      <c r="D2" s="412" t="n"/>
      <c r="E2" s="412" t="n"/>
      <c r="F2" s="413" t="n"/>
    </row>
    <row r="3"/>
    <row r="4" ht="15" customHeight="1">
      <c r="B4" s="325" t="inlineStr">
        <is>
          <t>A. DESKRIPTIVE STATISTIK</t>
        </is>
      </c>
      <c r="C4" s="412" t="n"/>
      <c r="D4" s="412" t="n"/>
      <c r="E4" s="412" t="n"/>
      <c r="F4" s="413" t="n"/>
    </row>
    <row r="5" ht="15" customHeight="1">
      <c r="B5" s="334" t="inlineStr">
        <is>
          <t>Kennzahl</t>
        </is>
      </c>
      <c r="C5" s="334" t="inlineStr">
        <is>
          <t>Wert (€/kg)</t>
        </is>
      </c>
      <c r="D5" s="81" t="n"/>
      <c r="E5" s="81" t="n"/>
      <c r="F5" s="334" t="inlineStr">
        <is>
          <t>Bedeutung</t>
        </is>
      </c>
    </row>
    <row r="6" ht="15" customHeight="1">
      <c r="B6" s="335" t="inlineStr">
        <is>
          <t>Mittelwert (μ)</t>
        </is>
      </c>
      <c r="C6" s="336" t="n">
        <v>44.8</v>
      </c>
      <c r="D6" s="82" t="n"/>
      <c r="E6" s="82" t="n"/>
      <c r="F6" s="335" t="inlineStr">
        <is>
          <t>Arithm. Mittel B2B</t>
        </is>
      </c>
    </row>
    <row r="7" ht="15" customHeight="1">
      <c r="B7" s="314" t="inlineStr">
        <is>
          <t>Median (P50)</t>
        </is>
      </c>
      <c r="C7" s="336" t="n">
        <v>42</v>
      </c>
      <c r="D7" s="86" t="n"/>
      <c r="E7" s="86" t="n"/>
      <c r="F7" s="314" t="inlineStr">
        <is>
          <t>Zentraler Marktpreis</t>
        </is>
      </c>
    </row>
    <row r="8" ht="15" customHeight="1">
      <c r="B8" s="335" t="inlineStr">
        <is>
          <t>Standardabweichung (σ)</t>
        </is>
      </c>
      <c r="C8" s="336" t="n">
        <v>18.2</v>
      </c>
      <c r="D8" s="82" t="n"/>
      <c r="E8" s="82" t="n"/>
      <c r="F8" s="335" t="inlineStr">
        <is>
          <t>Ø Abweichung</t>
        </is>
      </c>
    </row>
    <row r="9" ht="15" customHeight="1">
      <c r="B9" s="314" t="inlineStr">
        <is>
          <t>Minimum</t>
        </is>
      </c>
      <c r="C9" s="336" t="n">
        <v>15</v>
      </c>
      <c r="D9" s="86" t="n"/>
      <c r="E9" s="86" t="n"/>
      <c r="F9" s="314" t="inlineStr">
        <is>
          <t>Tierfutter, China</t>
        </is>
      </c>
    </row>
    <row r="10" ht="15" customHeight="1">
      <c r="B10" s="335" t="inlineStr">
        <is>
          <t>Maximum</t>
        </is>
      </c>
      <c r="C10" s="336" t="n">
        <v>180</v>
      </c>
      <c r="D10" s="82" t="n"/>
      <c r="E10" s="82" t="n"/>
      <c r="F10" s="335" t="inlineStr">
        <is>
          <t>Pharma-Extrakt</t>
        </is>
      </c>
    </row>
    <row r="11" ht="15" customHeight="1">
      <c r="B11" s="314" t="inlineStr">
        <is>
          <t>Variationskoeffizient</t>
        </is>
      </c>
      <c r="C11" s="336" t="n">
        <v>0.406</v>
      </c>
      <c r="D11" s="86" t="n"/>
      <c r="E11" s="86" t="n"/>
      <c r="F11" s="314" t="inlineStr">
        <is>
          <t>Hohe Streuung</t>
        </is>
      </c>
    </row>
    <row r="13" ht="15" customHeight="1">
      <c r="B13" s="325" t="inlineStr">
        <is>
          <t>B. QUARTILE</t>
        </is>
      </c>
      <c r="C13" s="412" t="n"/>
      <c r="D13" s="412" t="n"/>
      <c r="E13" s="412" t="n"/>
      <c r="F13" s="413" t="n"/>
    </row>
    <row r="14" ht="15" customHeight="1">
      <c r="B14" s="334" t="inlineStr">
        <is>
          <t>Perzentil</t>
        </is>
      </c>
      <c r="C14" s="334" t="inlineStr">
        <is>
          <t>€/kg</t>
        </is>
      </c>
      <c r="D14" s="81" t="n"/>
      <c r="E14" s="81" t="n"/>
      <c r="F14" s="334" t="inlineStr">
        <is>
          <t>Segment</t>
        </is>
      </c>
    </row>
    <row r="15" ht="15" customHeight="1">
      <c r="B15" s="335" t="inlineStr">
        <is>
          <t>P10</t>
        </is>
      </c>
      <c r="C15" s="336" t="n">
        <v>22</v>
      </c>
      <c r="D15" s="82" t="n"/>
      <c r="E15" s="82" t="n"/>
      <c r="F15" s="335" t="inlineStr">
        <is>
          <t>Budget</t>
        </is>
      </c>
    </row>
    <row r="16" ht="15" customHeight="1">
      <c r="B16" s="406" t="inlineStr">
        <is>
          <t>P25 (Q1)</t>
        </is>
      </c>
      <c r="C16" s="336" t="n">
        <v>30</v>
      </c>
      <c r="D16" s="86" t="n"/>
      <c r="E16" s="86" t="n"/>
      <c r="F16" s="406" t="inlineStr">
        <is>
          <t>Standard-Einstieg</t>
        </is>
      </c>
    </row>
    <row r="17" ht="15" customHeight="1">
      <c r="B17" s="335" t="inlineStr">
        <is>
          <t>P50 (Median)</t>
        </is>
      </c>
      <c r="C17" s="336" t="n">
        <v>42</v>
      </c>
      <c r="D17" s="82" t="n"/>
      <c r="E17" s="82" t="n"/>
      <c r="F17" s="335" t="inlineStr">
        <is>
          <t>Marktmitte</t>
        </is>
      </c>
    </row>
    <row r="18" ht="15" customHeight="1">
      <c r="B18" s="406" t="inlineStr">
        <is>
          <t>P75 (Q3)</t>
        </is>
      </c>
      <c r="C18" s="336" t="n">
        <v>60</v>
      </c>
      <c r="D18" s="86" t="n"/>
      <c r="E18" s="86" t="n"/>
      <c r="F18" s="406" t="inlineStr">
        <is>
          <t>Premium</t>
        </is>
      </c>
    </row>
    <row r="19" ht="15" customHeight="1">
      <c r="B19" s="335" t="inlineStr">
        <is>
          <t>P90</t>
        </is>
      </c>
      <c r="C19" s="336" t="n">
        <v>85</v>
      </c>
      <c r="D19" s="82" t="n"/>
      <c r="E19" s="82" t="n"/>
      <c r="F19" s="335" t="inlineStr">
        <is>
          <t>High-End</t>
        </is>
      </c>
    </row>
    <row r="20" ht="15" customHeight="1">
      <c r="B20" s="406" t="inlineStr">
        <is>
          <t>P95</t>
        </is>
      </c>
      <c r="C20" s="336" t="n">
        <v>110</v>
      </c>
      <c r="D20" s="86" t="n"/>
      <c r="E20" s="86" t="n"/>
      <c r="F20" s="406" t="inlineStr">
        <is>
          <t>Pharma-Nische</t>
        </is>
      </c>
    </row>
    <row r="22" ht="15" customHeight="1">
      <c r="B22" s="325" t="inlineStr">
        <is>
          <t>C. PREISE NACH PRODUKTFORM</t>
        </is>
      </c>
      <c r="C22" s="412" t="n"/>
      <c r="D22" s="412" t="n"/>
      <c r="E22" s="412" t="n"/>
      <c r="F22" s="413" t="n"/>
    </row>
    <row r="23" ht="15" customHeight="1">
      <c r="B23" s="334" t="inlineStr">
        <is>
          <t>Produktform</t>
        </is>
      </c>
      <c r="C23" s="334" t="inlineStr">
        <is>
          <t>μ (€/kg)</t>
        </is>
      </c>
      <c r="D23" s="334" t="inlineStr">
        <is>
          <t>σ (€/kg)</t>
        </is>
      </c>
      <c r="E23" s="334" t="inlineStr">
        <is>
          <t>Median</t>
        </is>
      </c>
      <c r="F23" s="334" t="inlineStr">
        <is>
          <t>Marktanteil</t>
        </is>
      </c>
    </row>
    <row r="24" ht="15" customHeight="1">
      <c r="B24" s="335" t="inlineStr">
        <is>
          <t>Standard Pulver</t>
        </is>
      </c>
      <c r="C24" s="336" t="n">
        <v>30</v>
      </c>
      <c r="D24" s="362" t="n">
        <v>6.5</v>
      </c>
      <c r="E24" s="362" t="n">
        <v>30</v>
      </c>
      <c r="F24" s="335" t="inlineStr">
        <is>
          <t>37%</t>
        </is>
      </c>
    </row>
    <row r="25" ht="15" customHeight="1">
      <c r="B25" s="314" t="inlineStr">
        <is>
          <t>Premium Pulver (Bio)</t>
        </is>
      </c>
      <c r="C25" s="336" t="n">
        <v>65</v>
      </c>
      <c r="D25" s="329" t="n">
        <v>15.8</v>
      </c>
      <c r="E25" s="329" t="n">
        <v>65</v>
      </c>
      <c r="F25" s="314" t="inlineStr">
        <is>
          <t>19%</t>
        </is>
      </c>
    </row>
    <row r="26" ht="15" customHeight="1">
      <c r="B26" s="335" t="inlineStr">
        <is>
          <t>Tabletten Bulk</t>
        </is>
      </c>
      <c r="C26" s="336" t="n">
        <v>38</v>
      </c>
      <c r="D26" s="362" t="n">
        <v>8.199999999999999</v>
      </c>
      <c r="E26" s="362" t="n">
        <v>38</v>
      </c>
      <c r="F26" s="335" t="inlineStr">
        <is>
          <t>15%</t>
        </is>
      </c>
    </row>
    <row r="27" ht="15" customHeight="1">
      <c r="B27" s="314" t="inlineStr">
        <is>
          <t>Kapseln Bulk</t>
        </is>
      </c>
      <c r="C27" s="336" t="n">
        <v>44</v>
      </c>
      <c r="D27" s="329" t="n">
        <v>9.5</v>
      </c>
      <c r="E27" s="329" t="n">
        <v>44</v>
      </c>
      <c r="F27" s="314" t="inlineStr">
        <is>
          <t>10%</t>
        </is>
      </c>
    </row>
    <row r="28" ht="15" customHeight="1">
      <c r="B28" s="335" t="inlineStr">
        <is>
          <t>Gefriergetrocknet</t>
        </is>
      </c>
      <c r="C28" s="336" t="n">
        <v>60</v>
      </c>
      <c r="D28" s="362" t="n">
        <v>11.2</v>
      </c>
      <c r="E28" s="362" t="n">
        <v>60</v>
      </c>
      <c r="F28" s="335" t="inlineStr">
        <is>
          <t>(Prem.)</t>
        </is>
      </c>
    </row>
    <row r="29" ht="15" customHeight="1">
      <c r="B29" s="314" t="inlineStr">
        <is>
          <t>Broken Cell Wall</t>
        </is>
      </c>
      <c r="C29" s="336" t="n">
        <v>72</v>
      </c>
      <c r="D29" s="329" t="n">
        <v>14.5</v>
      </c>
      <c r="E29" s="329" t="n">
        <v>72</v>
      </c>
      <c r="F29" s="314" t="inlineStr">
        <is>
          <t>12%</t>
        </is>
      </c>
    </row>
    <row r="30" ht="15" customHeight="1">
      <c r="B30" s="335" t="inlineStr">
        <is>
          <t>Kosmetik-Grade</t>
        </is>
      </c>
      <c r="C30" s="336" t="n">
        <v>90</v>
      </c>
      <c r="D30" s="362" t="n">
        <v>18</v>
      </c>
      <c r="E30" s="362" t="n">
        <v>88</v>
      </c>
      <c r="F30" s="335" t="inlineStr">
        <is>
          <t>(Nische)</t>
        </is>
      </c>
    </row>
    <row r="31" ht="15" customHeight="1">
      <c r="B31" s="314" t="inlineStr">
        <is>
          <t>Paste</t>
        </is>
      </c>
      <c r="C31" s="336" t="n">
        <v>20</v>
      </c>
      <c r="D31" s="329" t="n">
        <v>3.5</v>
      </c>
      <c r="E31" s="329" t="n">
        <v>20</v>
      </c>
      <c r="F31" s="314" t="inlineStr">
        <is>
          <t>6%</t>
        </is>
      </c>
    </row>
    <row r="32" ht="15" customHeight="1">
      <c r="B32" s="335" t="inlineStr">
        <is>
          <t>Flüssig-Extrakt</t>
        </is>
      </c>
      <c r="C32" s="336" t="n">
        <v>120</v>
      </c>
      <c r="D32" s="362" t="n">
        <v>32.5</v>
      </c>
      <c r="E32" s="362" t="n">
        <v>115</v>
      </c>
      <c r="F32" s="335" t="inlineStr">
        <is>
          <t>2%</t>
        </is>
      </c>
    </row>
    <row r="34" ht="15" customHeight="1">
      <c r="B34" s="325" t="inlineStr">
        <is>
          <t>D. SZENARIEN FINANCIAL MODEL</t>
        </is>
      </c>
      <c r="C34" s="412" t="n"/>
      <c r="D34" s="412" t="n"/>
      <c r="E34" s="412" t="n"/>
      <c r="F34" s="413" t="n"/>
    </row>
    <row r="35" ht="15" customHeight="1">
      <c r="B35" s="334" t="inlineStr">
        <is>
          <t>Szenario</t>
        </is>
      </c>
      <c r="C35" s="334" t="inlineStr">
        <is>
          <t>Gew. Ø-Preis</t>
        </is>
      </c>
      <c r="D35" s="81" t="n"/>
      <c r="E35" s="81" t="n"/>
      <c r="F35" s="334" t="inlineStr">
        <is>
          <t>Produktmix</t>
        </is>
      </c>
    </row>
    <row r="36" ht="15" customHeight="1">
      <c r="B36" s="369" t="inlineStr">
        <is>
          <t>BASE CASE</t>
        </is>
      </c>
      <c r="C36" s="370" t="n">
        <v>55</v>
      </c>
      <c r="D36" s="180" t="n"/>
      <c r="E36" s="180" t="n"/>
      <c r="F36" s="369" t="inlineStr">
        <is>
          <t>30%Std@32 + 40%Prem@65 + 20%Gefr@60 + 10%BCW@75</t>
        </is>
      </c>
    </row>
    <row r="37" ht="15" customHeight="1">
      <c r="B37" s="371" t="inlineStr">
        <is>
          <t>WORST CASE</t>
        </is>
      </c>
      <c r="C37" s="372" t="n">
        <v>39</v>
      </c>
      <c r="D37" s="184" t="n"/>
      <c r="E37" s="184" t="n"/>
      <c r="F37" s="371" t="inlineStr">
        <is>
          <t>70%Std@32 + 20%Prem@65 + 10%Tab@38</t>
        </is>
      </c>
    </row>
    <row r="38" ht="15" customHeight="1">
      <c r="B38" s="373" t="inlineStr">
        <is>
          <t>BEST CASE</t>
        </is>
      </c>
      <c r="C38" s="374" t="n">
        <v>63</v>
      </c>
      <c r="D38" s="188" t="n"/>
      <c r="E38" s="188" t="n"/>
      <c r="F38" s="373" t="inlineStr">
        <is>
          <t>20%Std@32+30%Prem@65+24%Gefr@60+16%BCW@75+6%Kosm@90+4%Extr@120</t>
        </is>
      </c>
    </row>
  </sheetData>
  <mergeCells count="6">
    <mergeCell ref="B4:F4"/>
    <mergeCell ref="B2:F2"/>
    <mergeCell ref="B34:F34"/>
    <mergeCell ref="B22:F22"/>
    <mergeCell ref="B1:F1"/>
    <mergeCell ref="B13:F13"/>
  </mergeCells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12.xml><?xml version="1.0" encoding="utf-8"?>
<worksheet xmlns="http://schemas.openxmlformats.org/spreadsheetml/2006/main">
  <sheetPr>
    <tabColor rgb="0000B4A0"/>
    <outlinePr summaryBelow="1" summaryRight="1"/>
    <pageSetUpPr/>
  </sheetPr>
  <dimension ref="B1:E40"/>
  <sheetViews>
    <sheetView topLeftCell="B3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15" customWidth="1" min="3" max="3"/>
    <col width="30" customWidth="1" min="4" max="4"/>
    <col width="30" customWidth="1" min="5" max="5"/>
  </cols>
  <sheetData>
    <row r="1" ht="24" customHeight="1">
      <c r="B1" s="405" t="inlineStr">
        <is>
          <t>PHYOX BioGenesis – B2C Preisreferenz (Marktdaten)</t>
        </is>
      </c>
    </row>
    <row r="2" ht="15" customHeight="1">
      <c r="B2" s="406" t="inlineStr">
        <is>
          <t>Datenbasis: 73 individuelle B2C-Preisdatenpunkte | Stand: Februar 2026</t>
        </is>
      </c>
    </row>
    <row r="3"/>
    <row r="4" ht="15" customHeight="1">
      <c r="B4" s="406" t="inlineStr">
        <is>
          <t>A. DESKRIPTIVE STATISTIK</t>
        </is>
      </c>
    </row>
    <row r="5" ht="15" customHeight="1">
      <c r="B5" s="319" t="inlineStr">
        <is>
          <t>Kennzahl</t>
        </is>
      </c>
      <c r="C5" s="319" t="inlineStr">
        <is>
          <t>Wert (€/kg)</t>
        </is>
      </c>
      <c r="D5" s="319" t="inlineStr">
        <is>
          <t>Einordnung</t>
        </is>
      </c>
    </row>
    <row r="6" ht="15" customHeight="1">
      <c r="B6" s="326" t="inlineStr">
        <is>
          <t>Stichprobe (n)</t>
        </is>
      </c>
      <c r="C6" s="375" t="n">
        <v>73</v>
      </c>
      <c r="D6" s="406" t="inlineStr">
        <is>
          <t>B2C-Datenpunkte</t>
        </is>
      </c>
    </row>
    <row r="7" ht="15" customHeight="1">
      <c r="B7" s="326" t="inlineStr">
        <is>
          <t>Mittelwert (μ)</t>
        </is>
      </c>
      <c r="C7" s="375" t="n">
        <v>148.2</v>
      </c>
      <c r="D7" s="314" t="inlineStr">
        <is>
          <t>Arithm. Mittel aller B2C-Preise</t>
        </is>
      </c>
    </row>
    <row r="8" ht="15" customHeight="1">
      <c r="B8" s="326" t="inlineStr">
        <is>
          <t>Median (P50)</t>
        </is>
      </c>
      <c r="C8" s="375" t="n">
        <v>138</v>
      </c>
      <c r="D8" s="406" t="inlineStr">
        <is>
          <t>Zentralwert</t>
        </is>
      </c>
    </row>
    <row r="9" ht="15" customHeight="1">
      <c r="B9" s="326" t="inlineStr">
        <is>
          <t>Standardabweichung (σ)</t>
        </is>
      </c>
      <c r="C9" s="375" t="n">
        <v>81.2</v>
      </c>
      <c r="D9" s="314" t="inlineStr">
        <is>
          <t>Hohe Streuung → segmentierter Markt</t>
        </is>
      </c>
    </row>
    <row r="10" ht="15" customHeight="1">
      <c r="B10" s="326" t="inlineStr">
        <is>
          <t>Minimum</t>
        </is>
      </c>
      <c r="C10" s="375" t="n">
        <v>35</v>
      </c>
      <c r="D10" s="406" t="inlineStr">
        <is>
          <t>Budget-Segment (Asia-Import)</t>
        </is>
      </c>
    </row>
    <row r="11" ht="15" customHeight="1">
      <c r="B11" s="326" t="inlineStr">
        <is>
          <t>Maximum</t>
        </is>
      </c>
      <c r="C11" s="375" t="n">
        <v>310</v>
      </c>
      <c r="D11" s="314" t="inlineStr">
        <is>
          <t>Premium-Nische (Kleinpackung)</t>
        </is>
      </c>
    </row>
    <row r="12" ht="15" customHeight="1">
      <c r="B12" s="326" t="inlineStr">
        <is>
          <t>Variationskoeffizient</t>
        </is>
      </c>
      <c r="C12" s="326" t="inlineStr">
        <is>
          <t>54,8%</t>
        </is>
      </c>
      <c r="D12" s="406" t="inlineStr">
        <is>
          <t>Stark fragmentierter B2C-Markt</t>
        </is>
      </c>
    </row>
    <row r="14" ht="15" customHeight="1">
      <c r="B14" s="406" t="inlineStr">
        <is>
          <t>B. QUARTILE UND PERZENTILE</t>
        </is>
      </c>
    </row>
    <row r="15" ht="15" customHeight="1">
      <c r="B15" s="319" t="inlineStr">
        <is>
          <t>Perzentil</t>
        </is>
      </c>
      <c r="C15" s="319" t="inlineStr">
        <is>
          <t>€/kg</t>
        </is>
      </c>
      <c r="D15" s="319" t="inlineStr">
        <is>
          <t>Segment</t>
        </is>
      </c>
      <c r="E15" s="319" t="inlineStr">
        <is>
          <t>PHYOX-Einordnung</t>
        </is>
      </c>
    </row>
    <row r="16" ht="15" customHeight="1">
      <c r="B16" s="326" t="inlineStr">
        <is>
          <t>P10</t>
        </is>
      </c>
      <c r="C16" s="375" t="n">
        <v>55</v>
      </c>
      <c r="D16" s="326" t="inlineStr">
        <is>
          <t>Budget</t>
        </is>
      </c>
      <c r="E16" s="406" t="inlineStr">
        <is>
          <t>Nicht relevant (Asia-Import)</t>
        </is>
      </c>
    </row>
    <row r="17" ht="15" customHeight="1">
      <c r="B17" s="326" t="inlineStr">
        <is>
          <t>P25 (Q1)</t>
        </is>
      </c>
      <c r="C17" s="375" t="n">
        <v>70</v>
      </c>
      <c r="D17" s="326" t="inlineStr">
        <is>
          <t>Einstieg Standard</t>
        </is>
      </c>
      <c r="E17" s="314" t="inlineStr">
        <is>
          <t>Untergrenze Retail</t>
        </is>
      </c>
    </row>
    <row r="18" ht="15" customHeight="1">
      <c r="B18" s="326" t="inlineStr">
        <is>
          <t>P50 (Median)</t>
        </is>
      </c>
      <c r="C18" s="375" t="n">
        <v>138</v>
      </c>
      <c r="D18" s="326" t="inlineStr">
        <is>
          <t>Marktmitte</t>
        </is>
      </c>
      <c r="E18" s="406" t="inlineStr">
        <is>
          <t>Bear Case Ø</t>
        </is>
      </c>
    </row>
    <row r="19" ht="15" customHeight="1">
      <c r="B19" s="326" t="inlineStr">
        <is>
          <t>P75 (Q3)</t>
        </is>
      </c>
      <c r="C19" s="375" t="n">
        <v>210</v>
      </c>
      <c r="D19" s="326" t="inlineStr">
        <is>
          <t>Premium</t>
        </is>
      </c>
      <c r="E19" s="314" t="inlineStr">
        <is>
          <t>Base Case Einzelprodukte</t>
        </is>
      </c>
    </row>
    <row r="20" ht="15" customHeight="1">
      <c r="B20" s="326" t="inlineStr">
        <is>
          <t>P90</t>
        </is>
      </c>
      <c r="C20" s="375" t="n">
        <v>277</v>
      </c>
      <c r="D20" s="326" t="inlineStr">
        <is>
          <t>High-End</t>
        </is>
      </c>
      <c r="E20" s="406" t="inlineStr">
        <is>
          <t>Bull Case Premium-DTC</t>
        </is>
      </c>
    </row>
    <row r="22" ht="15" customHeight="1">
      <c r="B22" s="406" t="inlineStr">
        <is>
          <t>C. PREISE NACH PRODUKTFORM (B2C)</t>
        </is>
      </c>
    </row>
    <row r="23" ht="15" customHeight="1">
      <c r="B23" s="319" t="inlineStr">
        <is>
          <t>Produktform</t>
        </is>
      </c>
      <c r="C23" s="319" t="inlineStr">
        <is>
          <t>μ (€/kg)</t>
        </is>
      </c>
      <c r="D23" s="319" t="inlineStr">
        <is>
          <t>Median (€/kg)</t>
        </is>
      </c>
      <c r="E23" s="319" t="inlineStr">
        <is>
          <t>Spanne</t>
        </is>
      </c>
    </row>
    <row r="24" ht="15" customHeight="1">
      <c r="B24" s="326" t="inlineStr">
        <is>
          <t>Standard Pulver</t>
        </is>
      </c>
      <c r="C24" s="375" t="n">
        <v>121</v>
      </c>
      <c r="D24" s="375" t="n">
        <v>90</v>
      </c>
      <c r="E24" s="326" t="inlineStr">
        <is>
          <t>35–300</t>
        </is>
      </c>
    </row>
    <row r="25" ht="15" customHeight="1">
      <c r="B25" s="326" t="inlineStr">
        <is>
          <t>Kapseln (HPMC)</t>
        </is>
      </c>
      <c r="C25" s="375" t="n">
        <v>174</v>
      </c>
      <c r="D25" s="375" t="n">
        <v>170</v>
      </c>
      <c r="E25" s="326" t="inlineStr">
        <is>
          <t>55–310</t>
        </is>
      </c>
    </row>
    <row r="26" ht="15" customHeight="1">
      <c r="B26" s="326" t="inlineStr">
        <is>
          <t>Tabletten/Presslinge</t>
        </is>
      </c>
      <c r="C26" s="375" t="n">
        <v>152</v>
      </c>
      <c r="D26" s="375" t="n">
        <v>142</v>
      </c>
      <c r="E26" s="326" t="inlineStr">
        <is>
          <t>45–296</t>
        </is>
      </c>
    </row>
    <row r="28" ht="15" customHeight="1">
      <c r="B28" s="406" t="inlineStr">
        <is>
          <t>D. SZENARIEN-HERLEITUNG</t>
        </is>
      </c>
    </row>
    <row r="29" ht="15" customHeight="1">
      <c r="B29" s="319" t="inlineStr">
        <is>
          <t>Szenario</t>
        </is>
      </c>
      <c r="C29" s="319" t="inlineStr">
        <is>
          <t>Gew. Ø (€/kg)</t>
        </is>
      </c>
      <c r="D29" s="319" t="inlineStr">
        <is>
          <t>DTC/Retail-Split</t>
        </is>
      </c>
      <c r="E29" s="319" t="inlineStr">
        <is>
          <t>Produktmix</t>
        </is>
      </c>
    </row>
    <row r="30" ht="15" customHeight="1">
      <c r="B30" s="326" t="inlineStr">
        <is>
          <t>BEAR CASE</t>
        </is>
      </c>
      <c r="C30" s="375" t="n">
        <v>131</v>
      </c>
      <c r="D30" s="326" t="inlineStr">
        <is>
          <t>30% DTC / 70% Retail</t>
        </is>
      </c>
      <c r="E30" s="326" t="inlineStr">
        <is>
          <t>50%Pulver, 35%Tab, 15%Kaps</t>
        </is>
      </c>
    </row>
    <row r="31" ht="15" customHeight="1">
      <c r="B31" s="369" t="inlineStr">
        <is>
          <t>BASE CASE</t>
        </is>
      </c>
      <c r="C31" s="370" t="n">
        <v>184</v>
      </c>
      <c r="D31" s="369" t="inlineStr">
        <is>
          <t>60% DTC / 40% Retail</t>
        </is>
      </c>
      <c r="E31" s="369" t="inlineStr">
        <is>
          <t>40%Pulver, 30%Kaps, 30%Tab</t>
        </is>
      </c>
    </row>
    <row r="32" ht="15" customHeight="1">
      <c r="B32" s="326" t="inlineStr">
        <is>
          <t>BULL CASE</t>
        </is>
      </c>
      <c r="C32" s="375" t="n">
        <v>237</v>
      </c>
      <c r="D32" s="326" t="inlineStr">
        <is>
          <t>80% DTC / 20% Retail</t>
        </is>
      </c>
      <c r="E32" s="326" t="inlineStr">
        <is>
          <t>30%Pulver, 40%Kaps, 25%Tab, 5%Sets</t>
        </is>
      </c>
    </row>
    <row r="34" ht="15" customHeight="1">
      <c r="B34" s="406" t="inlineStr">
        <is>
          <t>E. WETTBEWERBER-REFERENZ (Auszug)</t>
        </is>
      </c>
    </row>
    <row r="35" ht="15" customHeight="1">
      <c r="B35" s="319" t="inlineStr">
        <is>
          <t>Marke</t>
        </is>
      </c>
      <c r="C35" s="319" t="inlineStr">
        <is>
          <t>Segment</t>
        </is>
      </c>
      <c r="D35" s="319" t="inlineStr">
        <is>
          <t>Preisspanne (€/kg)</t>
        </is>
      </c>
      <c r="E35" s="319" t="inlineStr">
        <is>
          <t>Kanal</t>
        </is>
      </c>
    </row>
    <row r="36" ht="15" customHeight="1">
      <c r="B36" s="326" t="inlineStr">
        <is>
          <t>Algomed</t>
        </is>
      </c>
      <c r="C36" s="326" t="inlineStr">
        <is>
          <t>Premium</t>
        </is>
      </c>
      <c r="D36" s="326" t="inlineStr">
        <is>
          <t>152–280</t>
        </is>
      </c>
      <c r="E36" s="326" t="inlineStr">
        <is>
          <t>DTC/Apotheke</t>
        </is>
      </c>
    </row>
    <row r="37" ht="15" customHeight="1">
      <c r="B37" s="326" t="inlineStr">
        <is>
          <t>Sanatur</t>
        </is>
      </c>
      <c r="C37" s="326" t="inlineStr">
        <is>
          <t>Premium</t>
        </is>
      </c>
      <c r="D37" s="326" t="inlineStr">
        <is>
          <t>150–284</t>
        </is>
      </c>
      <c r="E37" s="326" t="inlineStr">
        <is>
          <t>DTC/Reformhaus</t>
        </is>
      </c>
    </row>
    <row r="38" ht="15" customHeight="1">
      <c r="B38" s="326" t="inlineStr">
        <is>
          <t>Kurkraft</t>
        </is>
      </c>
      <c r="C38" s="326" t="inlineStr">
        <is>
          <t>Premium-DTC</t>
        </is>
      </c>
      <c r="D38" s="326" t="inlineStr">
        <is>
          <t>180–280</t>
        </is>
      </c>
      <c r="E38" s="326" t="inlineStr">
        <is>
          <t>DTC/Amazon</t>
        </is>
      </c>
    </row>
    <row r="39" ht="15" customHeight="1">
      <c r="B39" s="326" t="inlineStr">
        <is>
          <t>Biotiva</t>
        </is>
      </c>
      <c r="C39" s="326" t="inlineStr">
        <is>
          <t>Budget-Mid</t>
        </is>
      </c>
      <c r="D39" s="326" t="inlineStr">
        <is>
          <t>41–65</t>
        </is>
      </c>
      <c r="E39" s="326" t="inlineStr">
        <is>
          <t>Amazon/DTC</t>
        </is>
      </c>
    </row>
    <row r="40" ht="15" customHeight="1">
      <c r="B40" s="326" t="inlineStr">
        <is>
          <t>KoRo</t>
        </is>
      </c>
      <c r="C40" s="326" t="inlineStr">
        <is>
          <t>Budget-Mid</t>
        </is>
      </c>
      <c r="D40" s="326" t="inlineStr">
        <is>
          <t>45–60</t>
        </is>
      </c>
      <c r="E40" s="326" t="inlineStr">
        <is>
          <t>DTC</t>
        </is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13.xml><?xml version="1.0" encoding="utf-8"?>
<worksheet xmlns="http://schemas.openxmlformats.org/spreadsheetml/2006/main">
  <sheetPr>
    <tabColor rgb="002D5A27"/>
    <outlinePr summaryBelow="1" summaryRight="1"/>
    <pageSetUpPr/>
  </sheetPr>
  <dimension ref="A1:N27"/>
  <sheetViews>
    <sheetView zoomScaleNormal="100" workbookViewId="0">
      <pane ySplit="1" topLeftCell="A2" activePane="bottomLeft" state="frozen"/>
      <selection pane="bottomLeft" activeCell="E17" sqref="E17"/>
    </sheetView>
  </sheetViews>
  <sheetFormatPr baseColWidth="10" defaultColWidth="8.6640625" defaultRowHeight="15" customHeight="1"/>
  <cols>
    <col width="10" customWidth="1" min="1" max="1"/>
    <col width="30" customWidth="1" min="2" max="2"/>
    <col width="16" customWidth="1" min="3" max="3"/>
    <col width="10" customWidth="1" min="4" max="4"/>
    <col width="30" customWidth="1" min="5" max="14"/>
    <col width="30" customWidth="1" min="6" max="6"/>
    <col width="30" customWidth="1" min="7" max="7"/>
    <col width="30" customWidth="1" min="8" max="8"/>
    <col width="30" customWidth="1" min="9" max="9"/>
    <col width="30" customWidth="1" min="10" max="10"/>
    <col width="30" customWidth="1" min="11" max="11"/>
    <col width="30" customWidth="1" min="12" max="12"/>
    <col width="30" customWidth="1" min="13" max="13"/>
    <col width="30" customWidth="1" min="14" max="14"/>
  </cols>
  <sheetData>
    <row r="1" ht="24" customHeight="1">
      <c r="B1" s="405" t="inlineStr">
        <is>
          <t>PHYOX BioGenesis (NovaVersum GmbH) - Verpackungs- &amp; Versandkosten</t>
        </is>
      </c>
    </row>
    <row r="2" ht="27.75" customHeight="1">
      <c r="B2" s="406" t="inlineStr">
        <is>
          <t>10-Jahres-Projektion mit Inflationsanpassung</t>
        </is>
      </c>
    </row>
    <row r="3"/>
    <row r="4" ht="15" customHeight="1">
      <c r="A4" s="115" t="n"/>
      <c r="B4" s="319" t="inlineStr">
        <is>
          <t>A. KOSTENÜBERSICHT PRO KANAL (Jahr 1)</t>
        </is>
      </c>
      <c r="C4" s="115" t="n"/>
      <c r="D4" s="115" t="n"/>
      <c r="E4" s="115" t="n"/>
      <c r="F4" s="115" t="n"/>
      <c r="G4" s="115" t="n"/>
      <c r="H4" s="115" t="n"/>
      <c r="I4" s="115" t="n"/>
      <c r="J4" s="115" t="n"/>
      <c r="K4" s="115" t="n"/>
      <c r="L4" s="115" t="n"/>
      <c r="M4" s="115" t="n"/>
      <c r="N4" s="115" t="n"/>
    </row>
    <row r="5" ht="15" customHeight="1">
      <c r="A5" s="116" t="n"/>
      <c r="B5" s="350" t="inlineStr">
        <is>
          <t>Kanal / Produkt</t>
        </is>
      </c>
      <c r="C5" s="350" t="inlineStr">
        <is>
          <t>Kosten/kg</t>
        </is>
      </c>
      <c r="D5" s="350" t="inlineStr">
        <is>
          <t>Einheit</t>
        </is>
      </c>
    </row>
    <row r="6" ht="15" customHeight="1">
      <c r="B6" s="406" t="inlineStr">
        <is>
          <t>B2C Verp.+Versand/kg</t>
        </is>
      </c>
      <c r="C6" s="418">
        <f>Annahmen!C158</f>
        <v/>
      </c>
      <c r="D6" s="406" t="inlineStr">
        <is>
          <t>€/kg</t>
        </is>
      </c>
    </row>
    <row r="7" ht="15" customHeight="1">
      <c r="B7" s="314" t="inlineStr">
        <is>
          <t>B2B Retail Verp./kg</t>
        </is>
      </c>
      <c r="C7" s="351">
        <f>Annahmen!C171</f>
        <v/>
      </c>
      <c r="D7" s="314" t="inlineStr">
        <is>
          <t>€/kg</t>
        </is>
      </c>
    </row>
    <row r="8" ht="15" customHeight="1">
      <c r="B8" s="406" t="inlineStr">
        <is>
          <t>B2B Bulk Verp./kg</t>
        </is>
      </c>
      <c r="C8" s="419">
        <f>Annahmen!C179</f>
        <v/>
      </c>
      <c r="D8" s="406" t="inlineStr">
        <is>
          <t>€/kg</t>
        </is>
      </c>
    </row>
    <row r="9" ht="15" customHeight="1">
      <c r="B9" s="314" t="inlineStr">
        <is>
          <t>VerpackG/kg</t>
        </is>
      </c>
      <c r="C9" s="353">
        <f>Annahmen!C183</f>
        <v/>
      </c>
      <c r="D9" s="314" t="inlineStr">
        <is>
          <t>€/kg</t>
        </is>
      </c>
    </row>
    <row r="10" ht="15" customHeight="1">
      <c r="B10" s="376" t="inlineStr">
        <is>
          <t>Gewichteter Ø Gesamt</t>
        </is>
      </c>
      <c r="C10" s="354">
        <f>Annahmen!C187</f>
        <v/>
      </c>
      <c r="D10" s="406" t="inlineStr">
        <is>
          <t>€/kg</t>
        </is>
      </c>
    </row>
    <row r="13" ht="15" customHeight="1">
      <c r="A13" s="115" t="n"/>
      <c r="B13" s="319" t="inlineStr">
        <is>
          <t>B. 10-JAHRES-PROJEKTION VERPACKUNGS- &amp; VERSANDKOSTEN</t>
        </is>
      </c>
      <c r="C13" s="115" t="n"/>
      <c r="D13" s="115" t="n"/>
      <c r="E13" s="115" t="n"/>
      <c r="F13" s="115" t="n"/>
      <c r="G13" s="115" t="n"/>
      <c r="H13" s="115" t="n"/>
      <c r="I13" s="115" t="n"/>
      <c r="J13" s="115" t="n"/>
      <c r="K13" s="115" t="n"/>
      <c r="L13" s="115" t="n"/>
      <c r="M13" s="115" t="n"/>
      <c r="N13" s="115" t="n"/>
    </row>
    <row r="14" ht="15" customHeight="1">
      <c r="A14" s="116" t="n"/>
      <c r="B14" s="350" t="inlineStr">
        <is>
          <t>Position</t>
        </is>
      </c>
      <c r="C14" s="350" t="inlineStr">
        <is>
          <t>Einheit</t>
        </is>
      </c>
      <c r="D14" s="350" t="inlineStr">
        <is>
          <t>Basis</t>
        </is>
      </c>
      <c r="E14" s="350" t="inlineStr">
        <is>
          <t>Jahr 1</t>
        </is>
      </c>
      <c r="F14" s="350" t="inlineStr">
        <is>
          <t>Jahr 2</t>
        </is>
      </c>
      <c r="G14" s="350" t="inlineStr">
        <is>
          <t>Jahr 3</t>
        </is>
      </c>
      <c r="H14" s="350" t="inlineStr">
        <is>
          <t>Jahr 4</t>
        </is>
      </c>
      <c r="I14" s="350" t="inlineStr">
        <is>
          <t>Jahr 5</t>
        </is>
      </c>
      <c r="J14" s="350" t="inlineStr">
        <is>
          <t>Jahr 6</t>
        </is>
      </c>
      <c r="K14" s="350" t="inlineStr">
        <is>
          <t>Jahr 7</t>
        </is>
      </c>
      <c r="L14" s="350" t="inlineStr">
        <is>
          <t>Jahr 8</t>
        </is>
      </c>
      <c r="M14" s="350" t="inlineStr">
        <is>
          <t>Jahr 9</t>
        </is>
      </c>
      <c r="N14" s="350" t="inlineStr">
        <is>
          <t>Jahr 10</t>
        </is>
      </c>
    </row>
    <row r="15" ht="15" customHeight="1">
      <c r="B15" s="314" t="inlineStr">
        <is>
          <t>Inflationsfaktor</t>
        </is>
      </c>
      <c r="C15" s="314" t="inlineStr">
        <is>
          <t>Faktor</t>
        </is>
      </c>
      <c r="D15" s="117" t="n"/>
      <c r="E15" s="329" t="n">
        <v>1</v>
      </c>
      <c r="F15" s="377">
        <f>E15*(1+Annahmen!C34)</f>
        <v/>
      </c>
      <c r="G15" s="377">
        <f>F15*(1+Annahmen!C34)</f>
        <v/>
      </c>
      <c r="H15" s="377">
        <f>G15*(1+Annahmen!C34)</f>
        <v/>
      </c>
      <c r="I15" s="377">
        <f>H15*(1+Annahmen!C34)</f>
        <v/>
      </c>
      <c r="J15" s="377">
        <f>I15*(1+Annahmen!C34)</f>
        <v/>
      </c>
      <c r="K15" s="377">
        <f>J15*(1+Annahmen!C34)</f>
        <v/>
      </c>
      <c r="L15" s="377">
        <f>K15*(1+Annahmen!C34)</f>
        <v/>
      </c>
      <c r="M15" s="377">
        <f>L15*(1+Annahmen!C34)</f>
        <v/>
      </c>
      <c r="N15" s="377">
        <f>M15*(1+Annahmen!C34)</f>
        <v/>
      </c>
    </row>
    <row r="16" ht="15" customHeight="1">
      <c r="B16" s="406" t="inlineStr">
        <is>
          <t>Tats. Produktion</t>
        </is>
      </c>
      <c r="C16" s="406" t="inlineStr">
        <is>
          <t>kg/Jahr</t>
        </is>
      </c>
      <c r="E16" s="410">
        <f>Umsatz!E43</f>
        <v/>
      </c>
      <c r="F16" s="410">
        <f>Umsatz!F43</f>
        <v/>
      </c>
      <c r="G16" s="410">
        <f>Umsatz!G43</f>
        <v/>
      </c>
      <c r="H16" s="410">
        <f>Umsatz!H43</f>
        <v/>
      </c>
      <c r="I16" s="410">
        <f>Umsatz!I43</f>
        <v/>
      </c>
      <c r="J16" s="410">
        <f>Umsatz!J43</f>
        <v/>
      </c>
      <c r="K16" s="410">
        <f>Umsatz!K43</f>
        <v/>
      </c>
      <c r="L16" s="410">
        <f>Umsatz!L43</f>
        <v/>
      </c>
      <c r="M16" s="410">
        <f>Umsatz!M43</f>
        <v/>
      </c>
      <c r="N16" s="410">
        <f>Umsatz!N43</f>
        <v/>
      </c>
    </row>
    <row r="17" ht="15" customHeight="1">
      <c r="B17" s="314" t="inlineStr">
        <is>
          <t>B2C Menge</t>
        </is>
      </c>
      <c r="C17" s="314" t="inlineStr">
        <is>
          <t>kg/Jahr</t>
        </is>
      </c>
      <c r="E17" s="323">
        <f>E16*Annahmen!C81</f>
        <v/>
      </c>
      <c r="F17" s="323">
        <f>F16*Annahmen!C81</f>
        <v/>
      </c>
      <c r="G17" s="323">
        <f>G16*Annahmen!C81</f>
        <v/>
      </c>
      <c r="H17" s="323">
        <f>H16*Annahmen!C81</f>
        <v/>
      </c>
      <c r="I17" s="323">
        <f>I16*Annahmen!C81</f>
        <v/>
      </c>
      <c r="J17" s="323">
        <f>J16*Annahmen!C81</f>
        <v/>
      </c>
      <c r="K17" s="323">
        <f>K16*Annahmen!C81</f>
        <v/>
      </c>
      <c r="L17" s="323">
        <f>L16*Annahmen!C81</f>
        <v/>
      </c>
      <c r="M17" s="323">
        <f>M16*Annahmen!C81</f>
        <v/>
      </c>
      <c r="N17" s="323">
        <f>N16*Annahmen!C81</f>
        <v/>
      </c>
    </row>
    <row r="18" ht="15" customHeight="1">
      <c r="B18" s="406" t="inlineStr">
        <is>
          <t>B2B Retail Menge</t>
        </is>
      </c>
      <c r="C18" s="406" t="inlineStr">
        <is>
          <t>kg/Jahr</t>
        </is>
      </c>
      <c r="E18" s="410">
        <f>E16*Annahmen!C80*Annahmen!C121</f>
        <v/>
      </c>
      <c r="F18" s="410">
        <f>F16*Annahmen!C80*Annahmen!C121</f>
        <v/>
      </c>
      <c r="G18" s="410">
        <f>G16*Annahmen!C80*Annahmen!C121</f>
        <v/>
      </c>
      <c r="H18" s="410">
        <f>H16*Annahmen!C80*Annahmen!C121</f>
        <v/>
      </c>
      <c r="I18" s="410">
        <f>I16*Annahmen!C80*Annahmen!C121</f>
        <v/>
      </c>
      <c r="J18" s="410">
        <f>J16*Annahmen!C80*Annahmen!C121</f>
        <v/>
      </c>
      <c r="K18" s="410">
        <f>K16*Annahmen!C80*Annahmen!C121</f>
        <v/>
      </c>
      <c r="L18" s="410">
        <f>L16*Annahmen!C80*Annahmen!C121</f>
        <v/>
      </c>
      <c r="M18" s="410">
        <f>M16*Annahmen!C80*Annahmen!C121</f>
        <v/>
      </c>
      <c r="N18" s="410">
        <f>N16*Annahmen!C80*Annahmen!C121</f>
        <v/>
      </c>
    </row>
    <row r="19" ht="15" customHeight="1">
      <c r="B19" s="314" t="inlineStr">
        <is>
          <t>B2B Bulk Menge</t>
        </is>
      </c>
      <c r="C19" s="314" t="inlineStr">
        <is>
          <t>kg/Jahr</t>
        </is>
      </c>
      <c r="E19" s="323">
        <f>E16*Annahmen!C80*Annahmen!C120</f>
        <v/>
      </c>
      <c r="F19" s="323">
        <f>F16*Annahmen!C80*Annahmen!C120</f>
        <v/>
      </c>
      <c r="G19" s="323">
        <f>G16*Annahmen!C80*Annahmen!C120</f>
        <v/>
      </c>
      <c r="H19" s="323">
        <f>H16*Annahmen!C80*Annahmen!C120</f>
        <v/>
      </c>
      <c r="I19" s="323">
        <f>I16*Annahmen!C80*Annahmen!C120</f>
        <v/>
      </c>
      <c r="J19" s="323">
        <f>J16*Annahmen!C80*Annahmen!C120</f>
        <v/>
      </c>
      <c r="K19" s="323">
        <f>K16*Annahmen!C80*Annahmen!C120</f>
        <v/>
      </c>
      <c r="L19" s="323">
        <f>L16*Annahmen!C80*Annahmen!C120</f>
        <v/>
      </c>
      <c r="M19" s="323">
        <f>M16*Annahmen!C80*Annahmen!C120</f>
        <v/>
      </c>
      <c r="N19" s="323">
        <f>N16*Annahmen!C80*Annahmen!C120</f>
        <v/>
      </c>
    </row>
    <row r="21" ht="15" customHeight="1">
      <c r="B21" s="314" t="inlineStr">
        <is>
          <t>B2C Verp.+Versand</t>
        </is>
      </c>
      <c r="C21" s="314" t="inlineStr">
        <is>
          <t>€/Jahr</t>
        </is>
      </c>
      <c r="E21" s="323">
        <f>E17*Annahmen!C158*E15</f>
        <v/>
      </c>
      <c r="F21" s="323">
        <f>F17*Annahmen!C158*F15</f>
        <v/>
      </c>
      <c r="G21" s="323">
        <f>G17*Annahmen!C158*G15</f>
        <v/>
      </c>
      <c r="H21" s="323">
        <f>H17*Annahmen!C158*H15</f>
        <v/>
      </c>
      <c r="I21" s="323">
        <f>I17*Annahmen!C158*I15</f>
        <v/>
      </c>
      <c r="J21" s="323">
        <f>J17*Annahmen!C158*J15</f>
        <v/>
      </c>
      <c r="K21" s="323">
        <f>K17*Annahmen!C158*K15</f>
        <v/>
      </c>
      <c r="L21" s="323">
        <f>L17*Annahmen!C158*L15</f>
        <v/>
      </c>
      <c r="M21" s="323">
        <f>M17*Annahmen!C158*M15</f>
        <v/>
      </c>
      <c r="N21" s="323">
        <f>N17*Annahmen!C158*N15</f>
        <v/>
      </c>
    </row>
    <row r="22" ht="15" customHeight="1">
      <c r="B22" s="406" t="inlineStr">
        <is>
          <t>B2B Retail Verpackung</t>
        </is>
      </c>
      <c r="C22" s="406" t="inlineStr">
        <is>
          <t>€/Jahr</t>
        </is>
      </c>
      <c r="E22" s="410">
        <f>E18*Annahmen!C171*E15</f>
        <v/>
      </c>
      <c r="F22" s="410">
        <f>F18*Annahmen!C171*F15</f>
        <v/>
      </c>
      <c r="G22" s="410">
        <f>G18*Annahmen!C171*G15</f>
        <v/>
      </c>
      <c r="H22" s="410">
        <f>H18*Annahmen!C171*H15</f>
        <v/>
      </c>
      <c r="I22" s="410">
        <f>I18*Annahmen!C171*I15</f>
        <v/>
      </c>
      <c r="J22" s="410">
        <f>J18*Annahmen!C171*J15</f>
        <v/>
      </c>
      <c r="K22" s="410">
        <f>K18*Annahmen!C171*K15</f>
        <v/>
      </c>
      <c r="L22" s="410">
        <f>L18*Annahmen!C171*L15</f>
        <v/>
      </c>
      <c r="M22" s="410">
        <f>M18*Annahmen!C171*M15</f>
        <v/>
      </c>
      <c r="N22" s="410">
        <f>N18*Annahmen!C171*N15</f>
        <v/>
      </c>
    </row>
    <row r="23" ht="15" customHeight="1">
      <c r="B23" s="314" t="inlineStr">
        <is>
          <t>B2B Bulk Verpackung</t>
        </is>
      </c>
      <c r="C23" s="314" t="inlineStr">
        <is>
          <t>€/Jahr</t>
        </is>
      </c>
      <c r="E23" s="323">
        <f>E19*Annahmen!C179*E15</f>
        <v/>
      </c>
      <c r="F23" s="323">
        <f>F19*Annahmen!C179*F15</f>
        <v/>
      </c>
      <c r="G23" s="323">
        <f>G19*Annahmen!C179*G15</f>
        <v/>
      </c>
      <c r="H23" s="323">
        <f>H19*Annahmen!C179*H15</f>
        <v/>
      </c>
      <c r="I23" s="323">
        <f>I19*Annahmen!C179*I15</f>
        <v/>
      </c>
      <c r="J23" s="323">
        <f>J19*Annahmen!C179*J15</f>
        <v/>
      </c>
      <c r="K23" s="323">
        <f>K19*Annahmen!C179*K15</f>
        <v/>
      </c>
      <c r="L23" s="323">
        <f>L19*Annahmen!C179*L15</f>
        <v/>
      </c>
      <c r="M23" s="323">
        <f>M19*Annahmen!C179*M15</f>
        <v/>
      </c>
      <c r="N23" s="323">
        <f>N19*Annahmen!C179*N15</f>
        <v/>
      </c>
    </row>
    <row r="24" ht="15" customHeight="1">
      <c r="B24" s="406" t="inlineStr">
        <is>
          <t>VerpackG-Lizenzkosten</t>
        </is>
      </c>
      <c r="C24" s="406" t="inlineStr">
        <is>
          <t>€/Jahr</t>
        </is>
      </c>
      <c r="E24" s="410">
        <f>Annahmen!C182*E15</f>
        <v/>
      </c>
      <c r="F24" s="410">
        <f>Annahmen!C182*F15</f>
        <v/>
      </c>
      <c r="G24" s="410">
        <f>Annahmen!C182*G15</f>
        <v/>
      </c>
      <c r="H24" s="410">
        <f>Annahmen!C182*H15</f>
        <v/>
      </c>
      <c r="I24" s="410">
        <f>Annahmen!C182*I15</f>
        <v/>
      </c>
      <c r="J24" s="410">
        <f>Annahmen!C182*J15</f>
        <v/>
      </c>
      <c r="K24" s="410">
        <f>Annahmen!C182*K15</f>
        <v/>
      </c>
      <c r="L24" s="410">
        <f>Annahmen!C182*L15</f>
        <v/>
      </c>
      <c r="M24" s="410">
        <f>Annahmen!C182*M15</f>
        <v/>
      </c>
      <c r="N24" s="410">
        <f>Annahmen!C182*N15</f>
        <v/>
      </c>
    </row>
    <row r="26" ht="15" customHeight="1">
      <c r="B26" s="376" t="inlineStr">
        <is>
          <t>GESAMT Verpackung &amp; Versand</t>
        </is>
      </c>
      <c r="C26" s="376" t="inlineStr">
        <is>
          <t>€/Jahr</t>
        </is>
      </c>
      <c r="E26" s="378">
        <f>SUM(E21:E24)</f>
        <v/>
      </c>
      <c r="F26" s="378">
        <f>SUM(F21:F24)</f>
        <v/>
      </c>
      <c r="G26" s="378">
        <f>SUM(G21:G24)</f>
        <v/>
      </c>
      <c r="H26" s="378">
        <f>SUM(H21:H24)</f>
        <v/>
      </c>
      <c r="I26" s="378">
        <f>SUM(I21:I24)</f>
        <v/>
      </c>
      <c r="J26" s="378">
        <f>SUM(J21:J24)</f>
        <v/>
      </c>
      <c r="K26" s="378">
        <f>SUM(K21:K24)</f>
        <v/>
      </c>
      <c r="L26" s="378">
        <f>SUM(L21:L24)</f>
        <v/>
      </c>
      <c r="M26" s="378">
        <f>SUM(M21:M24)</f>
        <v/>
      </c>
      <c r="N26" s="378">
        <f>SUM(N21:N24)</f>
        <v/>
      </c>
    </row>
    <row r="27" ht="15" customHeight="1">
      <c r="B27" s="314" t="inlineStr">
        <is>
          <t>Gesamt pro kg</t>
        </is>
      </c>
      <c r="C27" s="314" t="inlineStr">
        <is>
          <t>€/kg</t>
        </is>
      </c>
      <c r="E27" s="351">
        <f>IF(E16&gt;0,E26/E16,0)</f>
        <v/>
      </c>
      <c r="F27" s="351">
        <f>IF(F16&gt;0,F26/F16,0)</f>
        <v/>
      </c>
      <c r="G27" s="351">
        <f>IF(G16&gt;0,G26/G16,0)</f>
        <v/>
      </c>
      <c r="H27" s="351">
        <f>IF(H16&gt;0,H26/H16,0)</f>
        <v/>
      </c>
      <c r="I27" s="351">
        <f>IF(I16&gt;0,I26/I16,0)</f>
        <v/>
      </c>
      <c r="J27" s="351">
        <f>IF(J16&gt;0,J26/J16,0)</f>
        <v/>
      </c>
      <c r="K27" s="351">
        <f>IF(K16&gt;0,K26/K16,0)</f>
        <v/>
      </c>
      <c r="L27" s="351">
        <f>IF(L16&gt;0,L26/L16,0)</f>
        <v/>
      </c>
      <c r="M27" s="351">
        <f>IF(M16&gt;0,M26/M16,0)</f>
        <v/>
      </c>
      <c r="N27" s="351">
        <f>IF(N16&gt;0,N26/N16,0)</f>
        <v/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14.xml><?xml version="1.0" encoding="utf-8"?>
<worksheet xmlns="http://schemas.openxmlformats.org/spreadsheetml/2006/main">
  <sheetPr>
    <tabColor rgb="0000D4FF"/>
    <outlinePr summaryBelow="1" summaryRight="1"/>
    <pageSetUpPr/>
  </sheetPr>
  <dimension ref="B1:F19"/>
  <sheetViews>
    <sheetView zoomScaleNormal="100" workbookViewId="0">
      <pane ySplit="1" topLeftCell="A2" activePane="bottomLeft" state="frozen"/>
      <selection pane="bottomLeft" activeCell="B1" sqref="B1"/>
      <selection pane="bottomLeft" activeCell="A4" sqref="A4"/>
      <selection pane="bottomRigh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22" customWidth="1" min="3" max="5"/>
    <col width="30" customWidth="1" min="4" max="4"/>
    <col width="30" customWidth="1" min="5" max="5"/>
    <col width="30" customWidth="1" min="6" max="6"/>
  </cols>
  <sheetData>
    <row r="1" ht="24" customHeight="1">
      <c r="B1" s="405" t="inlineStr">
        <is>
          <t>PHYOX BioGenesis (NovaVersum GmbH) – Vollkostenrechnung &amp; Stückkostenlogik</t>
        </is>
      </c>
      <c r="C1" s="412" t="n"/>
      <c r="D1" s="412" t="n"/>
      <c r="E1" s="412" t="n"/>
      <c r="F1" s="413" t="n"/>
    </row>
    <row r="2" ht="15" customHeight="1">
      <c r="B2" s="406" t="inlineStr">
        <is>
          <t>Schritt 5: Zusammenführung aller Kostenblöcke</t>
        </is>
      </c>
      <c r="C2" s="412" t="n"/>
      <c r="D2" s="412" t="n"/>
      <c r="E2" s="412" t="n"/>
      <c r="F2" s="413" t="n"/>
    </row>
    <row r="3"/>
    <row r="4" ht="15" customHeight="1">
      <c r="B4" s="325" t="inlineStr">
        <is>
          <t>A. VOLLKOSTENRECHNUNG (bei tatsächlicher Auslastung)</t>
        </is>
      </c>
      <c r="C4" s="412" t="n"/>
      <c r="D4" s="412" t="n"/>
      <c r="E4" s="412" t="n"/>
      <c r="F4" s="413" t="n"/>
    </row>
    <row r="5" ht="15" customHeight="1">
      <c r="B5" s="334" t="inlineStr">
        <is>
          <t>Kostenkomponente</t>
        </is>
      </c>
      <c r="C5" s="334" t="inlineStr">
        <is>
          <t>Jahr (€)</t>
        </is>
      </c>
      <c r="D5" s="334" t="inlineStr">
        <is>
          <t>€/kg</t>
        </is>
      </c>
      <c r="E5" s="334" t="inlineStr">
        <is>
          <t>Anteil (%)</t>
        </is>
      </c>
      <c r="F5" s="334" t="inlineStr">
        <is>
          <t>Quelle</t>
        </is>
      </c>
    </row>
    <row r="6" ht="15" customHeight="1">
      <c r="B6" s="335" t="inlineStr">
        <is>
          <t>OPEX fix (Personal + Betrieb)</t>
        </is>
      </c>
      <c r="C6" s="361">
        <f>'OPEX Fix'!C32</f>
        <v/>
      </c>
      <c r="D6" s="358">
        <f>C6/Annahmen!C11</f>
        <v/>
      </c>
      <c r="E6" s="357">
        <f>C6/C9</f>
        <v/>
      </c>
      <c r="F6" s="335" t="inlineStr">
        <is>
          <t>OPEX Fix</t>
        </is>
      </c>
    </row>
    <row r="7" ht="15" customHeight="1">
      <c r="B7" s="314" t="inlineStr">
        <is>
          <t>OPEX variabel</t>
        </is>
      </c>
      <c r="C7" s="341">
        <f>'OPEX Variabel'!C10</f>
        <v/>
      </c>
      <c r="D7" s="359">
        <f>C7/Annahmen!C11</f>
        <v/>
      </c>
      <c r="E7" s="318">
        <f>C7/C9</f>
        <v/>
      </c>
      <c r="F7" s="314" t="inlineStr">
        <is>
          <t>OPEX Variabel</t>
        </is>
      </c>
    </row>
    <row r="8" ht="15" customHeight="1">
      <c r="B8" s="335" t="inlineStr">
        <is>
          <t>Abschreibungen (CAPEX)</t>
        </is>
      </c>
      <c r="C8" s="361">
        <f>CAPEX!F20</f>
        <v/>
      </c>
      <c r="D8" s="358">
        <f>C8/Annahmen!C11</f>
        <v/>
      </c>
      <c r="E8" s="357">
        <f>C8/C9</f>
        <v/>
      </c>
      <c r="F8" s="335" t="inlineStr">
        <is>
          <t>CAPEX</t>
        </is>
      </c>
    </row>
    <row r="9" ht="15" customHeight="1">
      <c r="B9" s="326" t="inlineStr">
        <is>
          <t>VOLLKOSTEN GESAMT</t>
        </is>
      </c>
      <c r="C9" s="343">
        <f>SUM(C6:C8)</f>
        <v/>
      </c>
      <c r="D9" s="360">
        <f>C9/Annahmen!C11</f>
        <v/>
      </c>
      <c r="E9" s="344">
        <f>1</f>
        <v/>
      </c>
      <c r="F9" s="326" t="inlineStr">
        <is>
          <t>(OPEX fix + OPEX var + AfA) / Menge</t>
        </is>
      </c>
    </row>
    <row r="11" ht="15" customHeight="1">
      <c r="B11" s="325" t="inlineStr">
        <is>
          <t>B. STÜCKKOSTENENTWICKLUNG NACH AUSLASTUNG</t>
        </is>
      </c>
      <c r="C11" s="412" t="n"/>
      <c r="D11" s="412" t="n"/>
      <c r="E11" s="412" t="n"/>
      <c r="F11" s="413" t="n"/>
    </row>
    <row r="12" ht="15" customHeight="1">
      <c r="B12" s="334" t="inlineStr">
        <is>
          <t>Auslastung</t>
        </is>
      </c>
      <c r="C12" s="334" t="inlineStr">
        <is>
          <t>Menge (kg)</t>
        </is>
      </c>
      <c r="D12" s="334" t="inlineStr">
        <is>
          <t>Fixkosten/kg (€)</t>
        </is>
      </c>
      <c r="E12" s="334" t="inlineStr">
        <is>
          <t>Var. Kosten/kg (€)</t>
        </is>
      </c>
      <c r="F12" s="334" t="inlineStr">
        <is>
          <t>Vollkosten/kg (€)</t>
        </is>
      </c>
    </row>
    <row r="13" ht="15" customHeight="1">
      <c r="B13" s="362" t="n">
        <v>0.6</v>
      </c>
      <c r="C13" s="363">
        <f>Annahmen!C9*B13</f>
        <v/>
      </c>
      <c r="D13" s="358">
        <f>('OPEX Fix'!C32+CAPEX!F20)/C13</f>
        <v/>
      </c>
      <c r="E13" s="358">
        <f>'OPEX Variabel'!C10/Annahmen!C9</f>
        <v/>
      </c>
      <c r="F13" s="358">
        <f>D13+E13</f>
        <v/>
      </c>
    </row>
    <row r="14" ht="15" customHeight="1">
      <c r="B14" s="411" t="n">
        <v>0.7</v>
      </c>
      <c r="C14" s="414">
        <f>Annahmen!C9*B14</f>
        <v/>
      </c>
      <c r="D14" s="421">
        <f>('OPEX Fix'!C32+CAPEX!F20)/C14</f>
        <v/>
      </c>
      <c r="E14" s="421">
        <f>'OPEX Variabel'!C10/Annahmen!C9</f>
        <v/>
      </c>
      <c r="F14" s="421">
        <f>D14+E14</f>
        <v/>
      </c>
    </row>
    <row r="15" ht="15" customHeight="1">
      <c r="B15" s="362" t="n">
        <v>0.8</v>
      </c>
      <c r="C15" s="363">
        <f>Annahmen!C9*B15</f>
        <v/>
      </c>
      <c r="D15" s="358">
        <f>('OPEX Fix'!C32+CAPEX!F20)/C15</f>
        <v/>
      </c>
      <c r="E15" s="358">
        <f>'OPEX Variabel'!C10/Annahmen!C9</f>
        <v/>
      </c>
      <c r="F15" s="358">
        <f>D15+E15</f>
        <v/>
      </c>
    </row>
    <row r="16" ht="15" customHeight="1">
      <c r="B16" s="411" t="n">
        <v>0.9</v>
      </c>
      <c r="C16" s="414">
        <f>Annahmen!C9*B16</f>
        <v/>
      </c>
      <c r="D16" s="421">
        <f>('OPEX Fix'!C32+CAPEX!F20)/C16</f>
        <v/>
      </c>
      <c r="E16" s="421">
        <f>'OPEX Variabel'!C10/Annahmen!C9</f>
        <v/>
      </c>
      <c r="F16" s="421">
        <f>D16+E16</f>
        <v/>
      </c>
    </row>
    <row r="17" ht="15" customHeight="1">
      <c r="B17" s="362" t="n">
        <v>1</v>
      </c>
      <c r="C17" s="363">
        <f>Annahmen!C9*B17</f>
        <v/>
      </c>
      <c r="D17" s="358">
        <f>('OPEX Fix'!C32+CAPEX!F20)/C17</f>
        <v/>
      </c>
      <c r="E17" s="358">
        <f>'OPEX Variabel'!C10/Annahmen!C9</f>
        <v/>
      </c>
      <c r="F17" s="358">
        <f>D17+E17</f>
        <v/>
      </c>
    </row>
    <row r="19" ht="15" customHeight="1">
      <c r="B19" s="314" t="inlineStr">
        <is>
          <t>Skaleneffekt: Jede 10% Auslastungssteigerung reduziert Vollkosten um ca. 1,00-1,50 €/kg</t>
        </is>
      </c>
      <c r="C19" s="412" t="n"/>
      <c r="D19" s="412" t="n"/>
      <c r="E19" s="412" t="n"/>
      <c r="F19" s="413" t="n"/>
    </row>
  </sheetData>
  <mergeCells count="5">
    <mergeCell ref="B4:F4"/>
    <mergeCell ref="B2:F2"/>
    <mergeCell ref="B11:F11"/>
    <mergeCell ref="B19:F19"/>
    <mergeCell ref="B1:F1"/>
  </mergeCells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15.xml><?xml version="1.0" encoding="utf-8"?>
<worksheet xmlns="http://schemas.openxmlformats.org/spreadsheetml/2006/main">
  <sheetPr>
    <tabColor rgb="00F5A623"/>
    <outlinePr summaryBelow="1" summaryRight="1"/>
    <pageSetUpPr/>
  </sheetPr>
  <dimension ref="A1:G59"/>
  <sheetViews>
    <sheetView zoomScaleNormal="100" workbookViewId="0">
      <pane ySplit="1" topLeftCell="A2" activePane="bottomLeft" state="frozen"/>
      <selection pane="bottomLeft" activeCell="B1" sqref="B1"/>
      <selection pane="bottomLeft" activeCell="A32" sqref="A32"/>
      <selection pane="bottomRight" activeCell="I37" sqref="I37"/>
    </sheetView>
  </sheetViews>
  <sheetFormatPr baseColWidth="10" defaultColWidth="8.6640625" defaultRowHeight="15" customHeight="1"/>
  <cols>
    <col width="10" customWidth="1" min="1" max="1"/>
    <col width="30" customWidth="1" min="2" max="2"/>
    <col width="27" customWidth="1" min="3" max="6"/>
    <col width="30" customWidth="1" min="4" max="4"/>
    <col width="23" customWidth="1" min="5" max="5"/>
    <col width="20" customWidth="1" min="6" max="6"/>
    <col width="30" customWidth="1" min="7" max="7"/>
  </cols>
  <sheetData>
    <row r="1" ht="24" customHeight="1">
      <c r="B1" s="405" t="inlineStr">
        <is>
          <t>PHYOX BioGenesis (NovaVersum GmbH) – Deckungsbeitragsrechnung &amp; Break-Even</t>
        </is>
      </c>
      <c r="C1" s="412" t="n"/>
      <c r="D1" s="412" t="n"/>
      <c r="E1" s="412" t="n"/>
      <c r="F1" s="412" t="n"/>
      <c r="G1" s="413" t="n"/>
    </row>
    <row r="2" ht="15" customHeight="1">
      <c r="B2" s="406" t="inlineStr">
        <is>
          <t>Schritt 6: DB I, DB II, Break-Even nach Szenarien (Mischpreis B2B+B2C)</t>
        </is>
      </c>
      <c r="C2" s="412" t="n"/>
      <c r="D2" s="412" t="n"/>
      <c r="E2" s="412" t="n"/>
      <c r="F2" s="412" t="n"/>
      <c r="G2" s="413" t="n"/>
    </row>
    <row r="3"/>
    <row r="4" ht="15" customHeight="1">
      <c r="B4" s="325" t="inlineStr">
        <is>
          <t>A. DECKUNGSBEITRAG I (Preis - Variable Kosten)</t>
        </is>
      </c>
      <c r="C4" s="412" t="n"/>
      <c r="D4" s="412" t="n"/>
      <c r="E4" s="412" t="n"/>
      <c r="F4" s="412" t="n"/>
      <c r="G4" s="413" t="n"/>
    </row>
    <row r="5" ht="15" customHeight="1">
      <c r="B5" s="334" t="inlineStr">
        <is>
          <t>Szenario</t>
        </is>
      </c>
      <c r="C5" s="334" t="inlineStr">
        <is>
          <t>Mischpreis (€/kg)</t>
        </is>
      </c>
      <c r="D5" s="334" t="inlineStr">
        <is>
          <t>Var. Kosten/kg (€)</t>
        </is>
      </c>
      <c r="E5" s="334" t="inlineStr">
        <is>
          <t>DB I (€/kg)</t>
        </is>
      </c>
      <c r="F5" s="334" t="inlineStr">
        <is>
          <t>DB I Marge (%)</t>
        </is>
      </c>
      <c r="G5" s="81" t="n"/>
    </row>
    <row r="6" ht="15" customHeight="1">
      <c r="B6" s="369" t="inlineStr">
        <is>
          <t>BASE CASE</t>
        </is>
      </c>
      <c r="C6" s="379">
        <f>Annahmen!C84</f>
        <v/>
      </c>
      <c r="D6" s="379">
        <f>'OPEX Variabel'!C10/Annahmen!C9</f>
        <v/>
      </c>
      <c r="E6" s="379">
        <f>C6-D6</f>
        <v/>
      </c>
      <c r="F6" s="380">
        <f>E6/C6</f>
        <v/>
      </c>
      <c r="G6" s="181" t="n"/>
    </row>
    <row r="7" ht="15" customHeight="1">
      <c r="B7" s="371" t="inlineStr">
        <is>
          <t>WORST CASE (Bear)</t>
        </is>
      </c>
      <c r="C7" s="381">
        <f>Annahmen!C85</f>
        <v/>
      </c>
      <c r="D7" s="381">
        <f>'OPEX Variabel'!C10/Annahmen!C9</f>
        <v/>
      </c>
      <c r="E7" s="381">
        <f>C7-D7</f>
        <v/>
      </c>
      <c r="F7" s="382">
        <f>E7/C7</f>
        <v/>
      </c>
      <c r="G7" s="185" t="n"/>
    </row>
    <row r="8" ht="15" customHeight="1">
      <c r="B8" s="373" t="inlineStr">
        <is>
          <t>BEST CASE (Bull)</t>
        </is>
      </c>
      <c r="C8" s="383">
        <f>Annahmen!C86</f>
        <v/>
      </c>
      <c r="D8" s="383">
        <f>'OPEX Variabel'!C10/Annahmen!C9</f>
        <v/>
      </c>
      <c r="E8" s="383">
        <f>C8-D8</f>
        <v/>
      </c>
      <c r="F8" s="384">
        <f>E8/C8</f>
        <v/>
      </c>
      <c r="G8" s="189" t="n"/>
    </row>
    <row r="9"/>
    <row r="10" ht="15" customHeight="1">
      <c r="B10" s="406" t="inlineStr">
        <is>
          <t>DB I = Verkaufspreis/kg - Variable Kosten/kg → steht zur Deckung der Fixkosten zur Verfügung</t>
        </is>
      </c>
      <c r="C10" s="412" t="n"/>
      <c r="D10" s="412" t="n"/>
      <c r="E10" s="412" t="n"/>
      <c r="F10" s="412" t="n"/>
      <c r="G10" s="413" t="n"/>
    </row>
    <row r="12" ht="15" customHeight="1">
      <c r="B12" s="325" t="inlineStr">
        <is>
          <t>B. DECKUNGSBEITRAG II (DB I - Abschreibungen)</t>
        </is>
      </c>
      <c r="C12" s="412" t="n"/>
      <c r="D12" s="412" t="n"/>
      <c r="E12" s="412" t="n"/>
      <c r="F12" s="412" t="n"/>
      <c r="G12" s="413" t="n"/>
    </row>
    <row r="13" ht="15" customHeight="1">
      <c r="B13" s="334" t="inlineStr">
        <is>
          <t>Szenario</t>
        </is>
      </c>
      <c r="C13" s="334" t="inlineStr">
        <is>
          <t>DB I (€/kg)</t>
        </is>
      </c>
      <c r="D13" s="334" t="inlineStr">
        <is>
          <t>Abschr./kg (€)</t>
        </is>
      </c>
      <c r="E13" s="334" t="inlineStr">
        <is>
          <t>DB II (€/kg)</t>
        </is>
      </c>
      <c r="F13" s="334" t="inlineStr">
        <is>
          <t>DB II Marge (%)</t>
        </is>
      </c>
      <c r="G13" s="81" t="n"/>
    </row>
    <row r="14" ht="15" customHeight="1">
      <c r="B14" s="369" t="inlineStr">
        <is>
          <t>BASE CASE</t>
        </is>
      </c>
      <c r="C14" s="379">
        <f>E6</f>
        <v/>
      </c>
      <c r="D14" s="379">
        <f>CAPEX!F20/Annahmen!C9</f>
        <v/>
      </c>
      <c r="E14" s="379">
        <f>C14-D14</f>
        <v/>
      </c>
      <c r="F14" s="380">
        <f>E14/C6</f>
        <v/>
      </c>
      <c r="G14" s="181" t="n"/>
    </row>
    <row r="15" ht="15" customHeight="1">
      <c r="B15" s="371" t="inlineStr">
        <is>
          <t>WORST CASE (Bear)</t>
        </is>
      </c>
      <c r="C15" s="381">
        <f>E7</f>
        <v/>
      </c>
      <c r="D15" s="381">
        <f>CAPEX!F20/Annahmen!C9</f>
        <v/>
      </c>
      <c r="E15" s="381">
        <f>C15-D15</f>
        <v/>
      </c>
      <c r="F15" s="382">
        <f>E15/C7</f>
        <v/>
      </c>
      <c r="G15" s="185" t="n"/>
    </row>
    <row r="16" ht="15" customHeight="1">
      <c r="B16" s="373" t="inlineStr">
        <is>
          <t>BEST CASE (Bull)</t>
        </is>
      </c>
      <c r="C16" s="383">
        <f>E8</f>
        <v/>
      </c>
      <c r="D16" s="383">
        <f>CAPEX!F20/Annahmen!C9</f>
        <v/>
      </c>
      <c r="E16" s="383">
        <f>C16-D16</f>
        <v/>
      </c>
      <c r="F16" s="384">
        <f>E16/C8</f>
        <v/>
      </c>
      <c r="G16" s="189" t="n"/>
    </row>
    <row r="18" ht="15" customHeight="1">
      <c r="B18" s="406" t="inlineStr">
        <is>
          <t>DB II = DB I - Abschreibungen/kg → steht zur Deckung der Betriebsfixkosten (Personal+Betrieb) zur Verfügung</t>
        </is>
      </c>
      <c r="C18" s="412" t="n"/>
      <c r="D18" s="412" t="n"/>
      <c r="E18" s="412" t="n"/>
      <c r="F18" s="412" t="n"/>
      <c r="G18" s="413" t="n"/>
    </row>
    <row r="20" ht="15" customHeight="1">
      <c r="B20" s="325" t="inlineStr">
        <is>
          <t>C. GEWINN NACH VOLLKOSTENDECKUNG (Vollauslastung 90.000 kg)</t>
        </is>
      </c>
      <c r="C20" s="412" t="n"/>
      <c r="D20" s="412" t="n"/>
      <c r="E20" s="412" t="n"/>
      <c r="F20" s="412" t="n"/>
      <c r="G20" s="413" t="n"/>
    </row>
    <row r="21" ht="15" customHeight="1">
      <c r="B21" s="334" t="inlineStr">
        <is>
          <t>Szenario</t>
        </is>
      </c>
      <c r="C21" s="334" t="inlineStr">
        <is>
          <t>Verkaufspreis (€/kg)</t>
        </is>
      </c>
      <c r="D21" s="334" t="inlineStr">
        <is>
          <t>Vollkosten/kg (€)</t>
        </is>
      </c>
      <c r="E21" s="334" t="inlineStr">
        <is>
          <t>Gewinn/kg (€)</t>
        </is>
      </c>
      <c r="F21" s="334" t="inlineStr">
        <is>
          <t>Gewinnmarge (%)</t>
        </is>
      </c>
      <c r="G21" s="334" t="inlineStr">
        <is>
          <t>Jahresgewinn (€)</t>
        </is>
      </c>
    </row>
    <row r="22" ht="15" customHeight="1">
      <c r="B22" s="369" t="inlineStr">
        <is>
          <t>BASE CASE</t>
        </is>
      </c>
      <c r="C22" s="379">
        <f>C6</f>
        <v/>
      </c>
      <c r="D22" s="379">
        <f>Vollkosten!D9</f>
        <v/>
      </c>
      <c r="E22" s="379">
        <f>C22-D22</f>
        <v/>
      </c>
      <c r="F22" s="380">
        <f>E22/C22</f>
        <v/>
      </c>
      <c r="G22" s="385">
        <f>E22*Annahmen!C9</f>
        <v/>
      </c>
    </row>
    <row r="23" ht="15" customHeight="1">
      <c r="B23" s="371" t="inlineStr">
        <is>
          <t>WORST CASE (Bear)</t>
        </is>
      </c>
      <c r="C23" s="381">
        <f>C7</f>
        <v/>
      </c>
      <c r="D23" s="381">
        <f>Vollkosten!D9</f>
        <v/>
      </c>
      <c r="E23" s="381">
        <f>C23-D23</f>
        <v/>
      </c>
      <c r="F23" s="382">
        <f>E23/C23</f>
        <v/>
      </c>
      <c r="G23" s="386">
        <f>E23*Annahmen!C9</f>
        <v/>
      </c>
    </row>
    <row r="24" ht="15" customHeight="1">
      <c r="B24" s="373" t="inlineStr">
        <is>
          <t>BEST CASE (Bull)</t>
        </is>
      </c>
      <c r="C24" s="383">
        <f>C8</f>
        <v/>
      </c>
      <c r="D24" s="383">
        <f>Vollkosten!D9</f>
        <v/>
      </c>
      <c r="E24" s="383">
        <f>C24-D24</f>
        <v/>
      </c>
      <c r="F24" s="384">
        <f>E24/C24</f>
        <v/>
      </c>
      <c r="G24" s="387">
        <f>E24*Annahmen!C9</f>
        <v/>
      </c>
    </row>
    <row r="27" ht="15" customHeight="1">
      <c r="B27" s="325" t="inlineStr">
        <is>
          <t>D. BREAK-EVEN-ANALYSE (Fixkosten gesamt / DB I pro kg)</t>
        </is>
      </c>
      <c r="C27" s="412" t="n"/>
      <c r="D27" s="412" t="n"/>
      <c r="E27" s="412" t="n"/>
      <c r="F27" s="412" t="n"/>
      <c r="G27" s="413" t="n"/>
    </row>
    <row r="28" ht="15" customHeight="1">
      <c r="B28" s="334" t="inlineStr">
        <is>
          <t>Szenario</t>
        </is>
      </c>
      <c r="C28" s="334" t="inlineStr">
        <is>
          <t>Fixkosten ges. (€)</t>
        </is>
      </c>
      <c r="D28" s="334" t="inlineStr">
        <is>
          <t>DB I/kg (€)</t>
        </is>
      </c>
      <c r="E28" s="334" t="inlineStr">
        <is>
          <t>Break-Even (kg)</t>
        </is>
      </c>
      <c r="F28" s="334" t="inlineStr">
        <is>
          <t>Auslastung (%)</t>
        </is>
      </c>
      <c r="G28" s="334" t="inlineStr">
        <is>
          <t>Monate bis BE</t>
        </is>
      </c>
    </row>
    <row r="29" ht="15" customHeight="1">
      <c r="B29" s="369" t="inlineStr">
        <is>
          <t>BASE CASE</t>
        </is>
      </c>
      <c r="C29" s="385">
        <f>'OPEX Fix'!C32+CAPEX!F20</f>
        <v/>
      </c>
      <c r="D29" s="379">
        <f>E6</f>
        <v/>
      </c>
      <c r="E29" s="388">
        <f>IF(D29&gt;0,C29/D29,0)</f>
        <v/>
      </c>
      <c r="F29" s="380">
        <f>E29/Annahmen!C9</f>
        <v/>
      </c>
      <c r="G29" s="389">
        <f>E29/(Annahmen!C9/12)</f>
        <v/>
      </c>
    </row>
    <row r="30" ht="15" customHeight="1">
      <c r="B30" s="371" t="inlineStr">
        <is>
          <t>WORST CASE (Bear)</t>
        </is>
      </c>
      <c r="C30" s="386">
        <f>'OPEX Fix'!C32+CAPEX!F20</f>
        <v/>
      </c>
      <c r="D30" s="381">
        <f>E7</f>
        <v/>
      </c>
      <c r="E30" s="390">
        <f>IF(D30&gt;0,C30/D30,0)</f>
        <v/>
      </c>
      <c r="F30" s="382">
        <f>E30/Annahmen!C9</f>
        <v/>
      </c>
      <c r="G30" s="391">
        <f>E30/(Annahmen!C9/12)</f>
        <v/>
      </c>
    </row>
    <row r="31" ht="15" customHeight="1">
      <c r="B31" s="373" t="inlineStr">
        <is>
          <t>BEST CASE (Bull)</t>
        </is>
      </c>
      <c r="C31" s="387">
        <f>'OPEX Fix'!C32+CAPEX!F20</f>
        <v/>
      </c>
      <c r="D31" s="383">
        <f>E8</f>
        <v/>
      </c>
      <c r="E31" s="392">
        <f>IF(D31&gt;0,C31/D31,0)</f>
        <v/>
      </c>
      <c r="F31" s="384">
        <f>E31/Annahmen!C9</f>
        <v/>
      </c>
      <c r="G31" s="393">
        <f>E31/(Annahmen!C9/12)</f>
        <v/>
      </c>
    </row>
    <row r="34" ht="15" customHeight="1">
      <c r="B34" s="325" t="inlineStr">
        <is>
          <t>E. BREAK-EVEN-UMSATZ</t>
        </is>
      </c>
      <c r="C34" s="412" t="n"/>
      <c r="D34" s="412" t="n"/>
      <c r="E34" s="412" t="n"/>
      <c r="F34" s="412" t="n"/>
      <c r="G34" s="413" t="n"/>
    </row>
    <row r="35" ht="15" customHeight="1">
      <c r="B35" s="334" t="inlineStr">
        <is>
          <t>Szenario</t>
        </is>
      </c>
      <c r="C35" s="334" t="inlineStr">
        <is>
          <t>Break-Even (kg)</t>
        </is>
      </c>
      <c r="D35" s="334" t="inlineStr">
        <is>
          <t>Preis (€/kg)</t>
        </is>
      </c>
      <c r="E35" s="334" t="inlineStr">
        <is>
          <t>BE-Umsatz (€)</t>
        </is>
      </c>
      <c r="F35" s="81" t="n"/>
      <c r="G35" s="81" t="n"/>
    </row>
    <row r="36" ht="15" customHeight="1">
      <c r="B36" s="369" t="inlineStr">
        <is>
          <t>BASE CASE</t>
        </is>
      </c>
      <c r="C36" s="388">
        <f>E29</f>
        <v/>
      </c>
      <c r="D36" s="379">
        <f>C6</f>
        <v/>
      </c>
      <c r="E36" s="385">
        <f>C36*D36</f>
        <v/>
      </c>
      <c r="F36" s="180" t="n"/>
      <c r="G36" s="181" t="n"/>
    </row>
    <row r="37" ht="15" customHeight="1">
      <c r="B37" s="371" t="inlineStr">
        <is>
          <t>WORST CASE (Bear)</t>
        </is>
      </c>
      <c r="C37" s="390">
        <f>E30</f>
        <v/>
      </c>
      <c r="D37" s="381">
        <f>C7</f>
        <v/>
      </c>
      <c r="E37" s="386">
        <f>C37*D37</f>
        <v/>
      </c>
      <c r="F37" s="184" t="n"/>
      <c r="G37" s="185" t="n"/>
    </row>
    <row r="38" ht="15" customHeight="1">
      <c r="B38" s="373" t="inlineStr">
        <is>
          <t>BEST CASE (Bull)</t>
        </is>
      </c>
      <c r="C38" s="392">
        <f>E31</f>
        <v/>
      </c>
      <c r="D38" s="383">
        <f>C8</f>
        <v/>
      </c>
      <c r="E38" s="387">
        <f>C38*D38</f>
        <v/>
      </c>
      <c r="F38" s="188" t="n"/>
      <c r="G38" s="189" t="n"/>
    </row>
    <row r="41" ht="15" customHeight="1">
      <c r="B41" s="325" t="inlineStr">
        <is>
          <t>F. JAHRESERGEBNIS BEI VOLLAUSLASTUNG</t>
        </is>
      </c>
      <c r="C41" s="412" t="n"/>
      <c r="D41" s="412" t="n"/>
      <c r="E41" s="412" t="n"/>
      <c r="F41" s="412" t="n"/>
      <c r="G41" s="413" t="n"/>
    </row>
    <row r="42" ht="15" customHeight="1">
      <c r="B42" s="334" t="inlineStr">
        <is>
          <t>Szenario</t>
        </is>
      </c>
      <c r="C42" s="334" t="inlineStr">
        <is>
          <t>Jahresumsatz (€)</t>
        </is>
      </c>
      <c r="D42" s="334" t="inlineStr">
        <is>
          <t>Vollkosten (€)</t>
        </is>
      </c>
      <c r="E42" s="334" t="inlineStr">
        <is>
          <t>Jahresgewinn (€)</t>
        </is>
      </c>
      <c r="F42" s="334" t="inlineStr">
        <is>
          <t>ROI (%)</t>
        </is>
      </c>
      <c r="G42" s="334" t="inlineStr">
        <is>
          <t>Cashflow (€)</t>
        </is>
      </c>
    </row>
    <row r="43" ht="15" customHeight="1">
      <c r="B43" s="369" t="inlineStr">
        <is>
          <t>BASE CASE</t>
        </is>
      </c>
      <c r="C43" s="385">
        <f>C6*Annahmen!C9</f>
        <v/>
      </c>
      <c r="D43" s="385">
        <f>Vollkosten!C9</f>
        <v/>
      </c>
      <c r="E43" s="385">
        <f>C43-D43</f>
        <v/>
      </c>
      <c r="F43" s="380">
        <f>E43/CAPEX!C20</f>
        <v/>
      </c>
      <c r="G43" s="385">
        <f>E43+CAPEX!F20</f>
        <v/>
      </c>
    </row>
    <row r="44" ht="15" customHeight="1">
      <c r="B44" s="371" t="inlineStr">
        <is>
          <t>WORST CASE (Bear)</t>
        </is>
      </c>
      <c r="C44" s="386">
        <f>C7*Annahmen!C9</f>
        <v/>
      </c>
      <c r="D44" s="386">
        <f>Vollkosten!C9</f>
        <v/>
      </c>
      <c r="E44" s="386">
        <f>C44-D44</f>
        <v/>
      </c>
      <c r="F44" s="382">
        <f>E44/CAPEX!C20</f>
        <v/>
      </c>
      <c r="G44" s="386">
        <f>E44+CAPEX!F20</f>
        <v/>
      </c>
    </row>
    <row r="45" ht="15" customHeight="1">
      <c r="B45" s="373" t="inlineStr">
        <is>
          <t>BEST CASE (Bull)</t>
        </is>
      </c>
      <c r="C45" s="387">
        <f>C8*Annahmen!C9</f>
        <v/>
      </c>
      <c r="D45" s="387">
        <f>Vollkosten!C9</f>
        <v/>
      </c>
      <c r="E45" s="387">
        <f>C45-D45</f>
        <v/>
      </c>
      <c r="F45" s="384">
        <f>E45/CAPEX!C20</f>
        <v/>
      </c>
      <c r="G45" s="387">
        <f>E45+CAPEX!F20</f>
        <v/>
      </c>
    </row>
    <row r="48" ht="15" customHeight="1">
      <c r="B48" s="325" t="inlineStr">
        <is>
          <t>G. SICHERHEITSZONE (Abstand zum Break-Even)</t>
        </is>
      </c>
      <c r="C48" s="412" t="n"/>
      <c r="D48" s="412" t="n"/>
      <c r="E48" s="412" t="n"/>
      <c r="F48" s="412" t="n"/>
      <c r="G48" s="413" t="n"/>
    </row>
    <row r="49" ht="15" customHeight="1">
      <c r="B49" s="334" t="inlineStr">
        <is>
          <t>Szenario</t>
        </is>
      </c>
      <c r="C49" s="334" t="inlineStr">
        <is>
          <t>Ist-Produktion (kg)</t>
        </is>
      </c>
      <c r="D49" s="334" t="inlineStr">
        <is>
          <t>Break-Even (kg)</t>
        </is>
      </c>
      <c r="E49" s="334" t="inlineStr">
        <is>
          <t>Sicherheitszone (%)</t>
        </is>
      </c>
      <c r="F49" s="81" t="n"/>
      <c r="G49" s="334" t="inlineStr">
        <is>
          <t>Bewertung</t>
        </is>
      </c>
    </row>
    <row r="50" ht="15" customHeight="1">
      <c r="B50" s="369" t="inlineStr">
        <is>
          <t>BASE CASE</t>
        </is>
      </c>
      <c r="C50" s="394">
        <f>Annahmen!C11</f>
        <v/>
      </c>
      <c r="D50" s="388">
        <f>E29</f>
        <v/>
      </c>
      <c r="E50" s="380">
        <f>(C50-D50)/C50</f>
        <v/>
      </c>
      <c r="F50" s="180" t="n"/>
      <c r="G50" s="369" t="inlineStr">
        <is>
          <t>Robust</t>
        </is>
      </c>
    </row>
    <row r="51" ht="15" customHeight="1">
      <c r="B51" s="371" t="inlineStr">
        <is>
          <t>WORST CASE (Bear)</t>
        </is>
      </c>
      <c r="C51" s="395">
        <f>Annahmen!C11</f>
        <v/>
      </c>
      <c r="D51" s="390">
        <f>E30</f>
        <v/>
      </c>
      <c r="E51" s="382">
        <f>(C51-D51)/C51</f>
        <v/>
      </c>
      <c r="F51" s="184" t="n"/>
      <c r="G51" s="371" t="inlineStr">
        <is>
          <t>Risiko bei Anlaufproblemen</t>
        </is>
      </c>
    </row>
    <row r="52" ht="15" customHeight="1">
      <c r="B52" s="373" t="inlineStr">
        <is>
          <t>BEST CASE (Bull)</t>
        </is>
      </c>
      <c r="C52" s="396">
        <f>Annahmen!C11</f>
        <v/>
      </c>
      <c r="D52" s="392">
        <f>E31</f>
        <v/>
      </c>
      <c r="E52" s="384">
        <f>(C52-D52)/C52</f>
        <v/>
      </c>
      <c r="F52" s="188" t="n"/>
      <c r="G52" s="373" t="inlineStr">
        <is>
          <t>Sehr robust</t>
        </is>
      </c>
    </row>
    <row r="55" ht="15" customHeight="1">
      <c r="A55" s="115" t="n"/>
      <c r="B55" s="319" t="inlineStr">
        <is>
          <t>H. VERPACKUNGS- &amp; VERSANDKOSTEN-INTEGRATION</t>
        </is>
      </c>
      <c r="C55" s="115" t="n"/>
      <c r="D55" s="115" t="n"/>
      <c r="E55" s="115" t="n"/>
      <c r="F55" s="115" t="n"/>
      <c r="G55" s="115" t="n"/>
    </row>
    <row r="56" ht="15" customHeight="1">
      <c r="B56" s="350" t="inlineStr">
        <is>
          <t>Szenario</t>
        </is>
      </c>
      <c r="C56" s="350" t="inlineStr">
        <is>
          <t>DB I (EUR/kg)</t>
        </is>
      </c>
      <c r="D56" s="350" t="inlineStr">
        <is>
          <t>Verp./kg (EUR)</t>
        </is>
      </c>
      <c r="E56" s="350" t="inlineStr">
        <is>
          <t>DB I n.Verp. (EUR/kg)</t>
        </is>
      </c>
      <c r="F56" s="350" t="inlineStr">
        <is>
          <t>Marge n.Verp. (%)</t>
        </is>
      </c>
      <c r="G56" s="350" t="inlineStr">
        <is>
          <t>BE inkl.Verp. (kg)</t>
        </is>
      </c>
    </row>
    <row r="57" ht="15" customHeight="1">
      <c r="B57" s="376" t="inlineStr">
        <is>
          <t>BASE CASE</t>
        </is>
      </c>
      <c r="C57" s="352">
        <f>E6</f>
        <v/>
      </c>
      <c r="D57" s="352">
        <f>Annahmen!C187</f>
        <v/>
      </c>
      <c r="E57" s="352">
        <f>E6-D57</f>
        <v/>
      </c>
      <c r="F57" s="397">
        <f>IF(C6&gt;0,E57/C6,0)</f>
        <v/>
      </c>
      <c r="G57" s="378">
        <f>IF(E57&gt;0,('OPEX Fix'!C32+CAPEX!F20)/E57,0)</f>
        <v/>
      </c>
    </row>
    <row r="58" ht="15" customHeight="1">
      <c r="B58" s="406" t="inlineStr">
        <is>
          <t>WORST CASE (Bear)</t>
        </is>
      </c>
      <c r="C58" s="418">
        <f>E7</f>
        <v/>
      </c>
      <c r="D58" s="418">
        <f>Annahmen!C187</f>
        <v/>
      </c>
      <c r="E58" s="418">
        <f>E7-D58</f>
        <v/>
      </c>
      <c r="F58" s="409">
        <f>IF(C7&gt;0,E58/C7,0)</f>
        <v/>
      </c>
      <c r="G58" s="410">
        <f>IF(E58&gt;0,('OPEX Fix'!C32+CAPEX!F20)/E58,0)</f>
        <v/>
      </c>
    </row>
    <row r="59" ht="15" customHeight="1">
      <c r="B59" s="314" t="inlineStr">
        <is>
          <t>BEST CASE (Bull)</t>
        </is>
      </c>
      <c r="C59" s="351">
        <f>E8</f>
        <v/>
      </c>
      <c r="D59" s="351">
        <f>Annahmen!C187</f>
        <v/>
      </c>
      <c r="E59" s="351">
        <f>E8-D59</f>
        <v/>
      </c>
      <c r="F59" s="318">
        <f>IF(C8&gt;0,E59/C8,0)</f>
        <v/>
      </c>
      <c r="G59" s="323">
        <f>IF(E59&gt;0,('OPEX Fix'!C32+CAPEX!F20)/E59,0)</f>
        <v/>
      </c>
    </row>
  </sheetData>
  <mergeCells count="11">
    <mergeCell ref="B2:G2"/>
    <mergeCell ref="B34:G34"/>
    <mergeCell ref="B20:G20"/>
    <mergeCell ref="B10:G10"/>
    <mergeCell ref="B27:G27"/>
    <mergeCell ref="B41:G41"/>
    <mergeCell ref="B1:G1"/>
    <mergeCell ref="B4:G4"/>
    <mergeCell ref="B18:G18"/>
    <mergeCell ref="B12:G12"/>
    <mergeCell ref="B48:G48"/>
  </mergeCells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16.xml><?xml version="1.0" encoding="utf-8"?>
<worksheet xmlns="http://schemas.openxmlformats.org/spreadsheetml/2006/main">
  <sheetPr>
    <tabColor rgb="000A1628"/>
    <outlinePr summaryBelow="1" summaryRight="1"/>
    <pageSetUpPr/>
  </sheetPr>
  <dimension ref="A1:N61"/>
  <sheetViews>
    <sheetView topLeftCell="A1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29" customWidth="1" min="3" max="14"/>
    <col width="29" customWidth="1" min="4" max="4"/>
    <col width="30" customWidth="1" min="5" max="5"/>
    <col width="30" customWidth="1" min="6" max="6"/>
    <col width="30" customWidth="1" min="7" max="7"/>
    <col width="30" customWidth="1" min="8" max="8"/>
    <col width="30" customWidth="1" min="9" max="9"/>
    <col width="30" customWidth="1" min="10" max="10"/>
    <col width="30" customWidth="1" min="11" max="11"/>
    <col width="30" customWidth="1" min="12" max="12"/>
    <col width="30" customWidth="1" min="13" max="13"/>
    <col width="30" customWidth="1" min="14" max="14"/>
  </cols>
  <sheetData>
    <row r="1" ht="24" customHeight="1">
      <c r="B1" s="405" t="inlineStr">
        <is>
          <t>PHYOX BioGenesis (NovaVersum GmbH) - Umsatzplanung (3-Kanal)</t>
        </is>
      </c>
    </row>
    <row r="2" ht="27.75" customHeight="1">
      <c r="B2" s="406" t="inlineStr">
        <is>
          <t>Drei-Kanal-Struktur: B2B Bulk + B2B Retail + B2C</t>
        </is>
      </c>
    </row>
    <row r="3"/>
    <row r="4" ht="15" customHeight="1">
      <c r="A4" s="115" t="n"/>
      <c r="B4" s="319" t="inlineStr">
        <is>
          <t>A. PRODUKTIONSÜBERSICHT</t>
        </is>
      </c>
      <c r="C4" s="115" t="n"/>
      <c r="D4" s="115" t="n"/>
      <c r="E4" s="115" t="n"/>
      <c r="F4" s="115" t="n"/>
      <c r="G4" s="115" t="n"/>
    </row>
    <row r="5" ht="15" customHeight="1">
      <c r="A5" s="116" t="n"/>
      <c r="B5" s="350" t="inlineStr">
        <is>
          <t>Parameter</t>
        </is>
      </c>
      <c r="C5" s="350" t="inlineStr">
        <is>
          <t>Wert</t>
        </is>
      </c>
      <c r="D5" s="350" t="inlineStr">
        <is>
          <t>Einheit</t>
        </is>
      </c>
      <c r="E5" s="350" t="inlineStr">
        <is>
          <t>Quelle</t>
        </is>
      </c>
    </row>
    <row r="6" ht="15" customHeight="1">
      <c r="B6" s="406" t="inlineStr">
        <is>
          <t>PBR-Gesamtvolumen</t>
        </is>
      </c>
      <c r="C6" s="410">
        <f>Annahmen!C8</f>
        <v/>
      </c>
      <c r="D6" s="406" t="inlineStr">
        <is>
          <t>Liter</t>
        </is>
      </c>
      <c r="E6" s="406" t="inlineStr">
        <is>
          <t>Annahmen C8</t>
        </is>
      </c>
    </row>
    <row r="7" ht="15" customHeight="1">
      <c r="B7" s="314" t="inlineStr">
        <is>
          <t>Biomassedichte (Jahr 1)</t>
        </is>
      </c>
      <c r="C7" s="351">
        <f>Annahmen!C13</f>
        <v/>
      </c>
      <c r="D7" s="314" t="inlineStr">
        <is>
          <t>g/l</t>
        </is>
      </c>
      <c r="E7" s="314" t="inlineStr">
        <is>
          <t>Annahmen C13</t>
        </is>
      </c>
    </row>
    <row r="8" ht="15" customHeight="1">
      <c r="B8" s="406" t="inlineStr">
        <is>
          <t>Produktionstage</t>
        </is>
      </c>
      <c r="C8" s="410">
        <f>Annahmen!C14</f>
        <v/>
      </c>
      <c r="D8" s="406" t="inlineStr">
        <is>
          <t>Tage/Jahr</t>
        </is>
      </c>
      <c r="E8" s="406" t="inlineStr">
        <is>
          <t>Annahmen C14</t>
        </is>
      </c>
    </row>
    <row r="9" ht="15" customHeight="1">
      <c r="B9" s="314" t="inlineStr">
        <is>
          <t>Max. Kapazität (Jahr 1)</t>
        </is>
      </c>
      <c r="C9" s="323">
        <f>Annahmen!C9</f>
        <v/>
      </c>
      <c r="D9" s="314" t="inlineStr">
        <is>
          <t>kg/Jahr</t>
        </is>
      </c>
      <c r="E9" s="314" t="inlineStr">
        <is>
          <t>Annahmen C9</t>
        </is>
      </c>
    </row>
    <row r="10" ht="15" customHeight="1">
      <c r="B10" s="406" t="inlineStr">
        <is>
          <t>Auslastungsgrad</t>
        </is>
      </c>
      <c r="C10" s="409">
        <f>Annahmen!C10</f>
        <v/>
      </c>
      <c r="D10" s="406" t="inlineStr">
        <is>
          <t>%</t>
        </is>
      </c>
      <c r="E10" s="406" t="inlineStr">
        <is>
          <t>Annahmen C10</t>
        </is>
      </c>
    </row>
    <row r="11" ht="42" customHeight="1">
      <c r="B11" s="314" t="inlineStr">
        <is>
          <t>Tats. Produktion (Jahr 1)</t>
        </is>
      </c>
      <c r="C11" s="323">
        <f>Annahmen!C11</f>
        <v/>
      </c>
      <c r="D11" s="314" t="inlineStr">
        <is>
          <t>kg/Jahr</t>
        </is>
      </c>
      <c r="E11" s="314" t="inlineStr">
        <is>
          <t>Annahmen C11 (Kapazität×Auslastung)</t>
        </is>
      </c>
    </row>
    <row r="12" ht="15" customHeight="1">
      <c r="B12" s="406" t="inlineStr">
        <is>
          <t>Verdunstungsverlust</t>
        </is>
      </c>
      <c r="C12" s="409">
        <f>Annahmen!C12</f>
        <v/>
      </c>
      <c r="D12" s="406" t="inlineStr">
        <is>
          <t>%</t>
        </is>
      </c>
    </row>
    <row r="14" ht="15" customHeight="1">
      <c r="A14" s="115" t="n"/>
      <c r="B14" s="319" t="inlineStr">
        <is>
          <t>B. KANALVERTEILUNG (3 Kanäle)</t>
        </is>
      </c>
      <c r="C14" s="115" t="n"/>
      <c r="D14" s="115" t="n"/>
      <c r="E14" s="115" t="n"/>
      <c r="F14" s="115" t="n"/>
      <c r="G14" s="115" t="n"/>
    </row>
    <row r="15" ht="15" customHeight="1">
      <c r="A15" s="116" t="n"/>
      <c r="B15" s="350" t="inlineStr">
        <is>
          <t>Kanal</t>
        </is>
      </c>
      <c r="C15" s="350" t="inlineStr">
        <is>
          <t>Anteil</t>
        </is>
      </c>
      <c r="D15" s="350" t="inlineStr">
        <is>
          <t>Menge (kg)</t>
        </is>
      </c>
      <c r="E15" s="350" t="inlineStr">
        <is>
          <t>Preis (€/kg)</t>
        </is>
      </c>
      <c r="F15" s="350" t="inlineStr">
        <is>
          <t>Umsatz (€)</t>
        </is>
      </c>
    </row>
    <row r="16" ht="15" customHeight="1">
      <c r="B16" s="406" t="inlineStr">
        <is>
          <t>B2B Bulk</t>
        </is>
      </c>
      <c r="C16" s="409">
        <f>Annahmen!C80*Annahmen!C120</f>
        <v/>
      </c>
      <c r="D16" s="410">
        <f>C16*Annahmen!C11</f>
        <v/>
      </c>
      <c r="E16" s="418">
        <f>Annahmen!C64</f>
        <v/>
      </c>
      <c r="F16" s="410">
        <f>D16*E16</f>
        <v/>
      </c>
    </row>
    <row r="17" ht="15" customHeight="1">
      <c r="B17" s="314" t="inlineStr">
        <is>
          <t>B2B Retail</t>
        </is>
      </c>
      <c r="C17" s="318">
        <f>Annahmen!C80*Annahmen!C121</f>
        <v/>
      </c>
      <c r="D17" s="323">
        <f>C17*Annahmen!C11</f>
        <v/>
      </c>
      <c r="E17" s="351">
        <f>Annahmen!C127</f>
        <v/>
      </c>
      <c r="F17" s="323">
        <f>D17*E17</f>
        <v/>
      </c>
    </row>
    <row r="18" ht="15" customHeight="1">
      <c r="B18" s="406" t="inlineStr">
        <is>
          <t>B2C</t>
        </is>
      </c>
      <c r="C18" s="409">
        <f>Annahmen!C81</f>
        <v/>
      </c>
      <c r="D18" s="410">
        <f>C18*Annahmen!C11</f>
        <v/>
      </c>
      <c r="E18" s="418">
        <f>Annahmen!C90</f>
        <v/>
      </c>
      <c r="F18" s="410">
        <f>D18*E18</f>
        <v/>
      </c>
    </row>
    <row r="19" ht="15" customHeight="1">
      <c r="B19" s="376" t="inlineStr">
        <is>
          <t>GESAMT</t>
        </is>
      </c>
      <c r="C19" s="397">
        <f>SUM(C16:C18)</f>
        <v/>
      </c>
      <c r="D19" s="378">
        <f>SUM(D16:D18)</f>
        <v/>
      </c>
      <c r="E19" s="352">
        <f>Annahmen!C84</f>
        <v/>
      </c>
      <c r="F19" s="378">
        <f>SUM(F16:F18)</f>
        <v/>
      </c>
    </row>
    <row r="21" ht="15" customHeight="1">
      <c r="A21" s="115" t="n"/>
      <c r="B21" s="319" t="inlineStr">
        <is>
          <t>C. VERPACKUNGS- &amp; VERSANDKOSTEN (Jahr 1)</t>
        </is>
      </c>
      <c r="C21" s="115" t="n"/>
      <c r="D21" s="115" t="n"/>
      <c r="E21" s="115" t="n"/>
      <c r="F21" s="115" t="n"/>
      <c r="G21" s="115" t="n"/>
    </row>
    <row r="22" ht="15" customHeight="1">
      <c r="A22" s="116" t="n"/>
      <c r="B22" s="350" t="inlineStr">
        <is>
          <t>Kanal</t>
        </is>
      </c>
      <c r="C22" s="350" t="inlineStr">
        <is>
          <t>Kosten/kg</t>
        </is>
      </c>
      <c r="D22" s="350" t="inlineStr">
        <is>
          <t>Menge (kg)</t>
        </is>
      </c>
      <c r="E22" s="350" t="inlineStr">
        <is>
          <t>Gesamtkosten</t>
        </is>
      </c>
      <c r="F22" s="350" t="inlineStr">
        <is>
          <t>Nettoumsatz</t>
        </is>
      </c>
    </row>
    <row r="23" ht="15" customHeight="1">
      <c r="B23" s="314" t="inlineStr">
        <is>
          <t>B2B Bulk</t>
        </is>
      </c>
      <c r="C23" s="353">
        <f>Annahmen!C179</f>
        <v/>
      </c>
      <c r="D23" s="323">
        <f>D16</f>
        <v/>
      </c>
      <c r="E23" s="323">
        <f>C23*D23</f>
        <v/>
      </c>
      <c r="F23" s="323">
        <f>F16-E23</f>
        <v/>
      </c>
    </row>
    <row r="24" ht="15" customHeight="1">
      <c r="B24" s="406" t="inlineStr">
        <is>
          <t>B2B Retail</t>
        </is>
      </c>
      <c r="C24" s="418">
        <f>Annahmen!C171</f>
        <v/>
      </c>
      <c r="D24" s="410">
        <f>D17</f>
        <v/>
      </c>
      <c r="E24" s="410">
        <f>C24*D24</f>
        <v/>
      </c>
      <c r="F24" s="410">
        <f>F17-E24</f>
        <v/>
      </c>
    </row>
    <row r="25" ht="15" customHeight="1">
      <c r="B25" s="314" t="inlineStr">
        <is>
          <t>B2C</t>
        </is>
      </c>
      <c r="C25" s="351">
        <f>Annahmen!C158</f>
        <v/>
      </c>
      <c r="D25" s="323">
        <f>D18</f>
        <v/>
      </c>
      <c r="E25" s="323">
        <f>C25*D25</f>
        <v/>
      </c>
      <c r="F25" s="323">
        <f>F18-E25</f>
        <v/>
      </c>
    </row>
    <row r="26" ht="15" customHeight="1">
      <c r="B26" s="406" t="inlineStr">
        <is>
          <t>VerpackG</t>
        </is>
      </c>
      <c r="C26" s="418">
        <f>Annahmen!C183</f>
        <v/>
      </c>
      <c r="D26" s="410">
        <f>D19</f>
        <v/>
      </c>
      <c r="E26" s="410">
        <f>Annahmen!C182</f>
        <v/>
      </c>
      <c r="F26" s="117" t="n"/>
    </row>
    <row r="27" ht="15" customHeight="1">
      <c r="B27" s="376" t="inlineStr">
        <is>
          <t>GESAMT</t>
        </is>
      </c>
      <c r="C27" s="352">
        <f>Annahmen!C187</f>
        <v/>
      </c>
      <c r="D27" s="378">
        <f>D19</f>
        <v/>
      </c>
      <c r="E27" s="378">
        <f>SUM(E23:E26)</f>
        <v/>
      </c>
      <c r="F27" s="378">
        <f>F19-E27</f>
        <v/>
      </c>
    </row>
    <row r="30" ht="15" customHeight="1">
      <c r="A30" s="115" t="n"/>
      <c r="B30" s="319" t="inlineStr">
        <is>
          <t>D. DECKUNGSBEITRAG PRO KANAL (Jahr 1)</t>
        </is>
      </c>
      <c r="C30" s="115" t="n"/>
      <c r="D30" s="115" t="n"/>
      <c r="E30" s="115" t="n"/>
      <c r="F30" s="115" t="n"/>
      <c r="G30" s="115" t="n"/>
    </row>
    <row r="31" ht="15" customHeight="1">
      <c r="A31" s="116" t="n"/>
      <c r="B31" s="350" t="inlineStr">
        <is>
          <t>Kanal</t>
        </is>
      </c>
      <c r="C31" s="350" t="inlineStr">
        <is>
          <t>Umsatz/kg</t>
        </is>
      </c>
      <c r="D31" s="350" t="inlineStr">
        <is>
          <t>Variable K./kg</t>
        </is>
      </c>
      <c r="E31" s="350" t="inlineStr">
        <is>
          <t>Verp.+Vers./kg</t>
        </is>
      </c>
      <c r="F31" s="350" t="inlineStr">
        <is>
          <t>DB/kg</t>
        </is>
      </c>
    </row>
    <row r="32" ht="15" customHeight="1">
      <c r="B32" s="406" t="inlineStr">
        <is>
          <t>B2B Bulk</t>
        </is>
      </c>
      <c r="C32" s="418">
        <f>Annahmen!C64</f>
        <v/>
      </c>
      <c r="D32" s="418">
        <f>Vollkosten!C9/Annahmen!C11</f>
        <v/>
      </c>
      <c r="E32" s="418">
        <f>Annahmen!C179</f>
        <v/>
      </c>
      <c r="F32" s="418">
        <f>C32-D32-E32</f>
        <v/>
      </c>
    </row>
    <row r="33" ht="15" customHeight="1">
      <c r="B33" s="314" t="inlineStr">
        <is>
          <t>B2B Retail</t>
        </is>
      </c>
      <c r="C33" s="351">
        <f>Annahmen!C127</f>
        <v/>
      </c>
      <c r="D33" s="351">
        <f>Vollkosten!C9/Annahmen!C11</f>
        <v/>
      </c>
      <c r="E33" s="351">
        <f>Annahmen!C171</f>
        <v/>
      </c>
      <c r="F33" s="351">
        <f>C33-D33-E33</f>
        <v/>
      </c>
    </row>
    <row r="34" ht="15" customHeight="1">
      <c r="B34" s="406" t="inlineStr">
        <is>
          <t>B2C</t>
        </is>
      </c>
      <c r="C34" s="418">
        <f>Annahmen!C90</f>
        <v/>
      </c>
      <c r="D34" s="418">
        <f>Vollkosten!C9/Annahmen!C11</f>
        <v/>
      </c>
      <c r="E34" s="418">
        <f>Annahmen!C158</f>
        <v/>
      </c>
      <c r="F34" s="418">
        <f>C34-D34-E34</f>
        <v/>
      </c>
    </row>
    <row r="35" ht="15" customHeight="1">
      <c r="B35" s="376" t="inlineStr">
        <is>
          <t>Gewichtet Ø</t>
        </is>
      </c>
      <c r="C35" s="352">
        <f>Annahmen!C84</f>
        <v/>
      </c>
      <c r="D35" s="352">
        <f>Vollkosten!C9/Annahmen!C11</f>
        <v/>
      </c>
      <c r="E35" s="352">
        <f>Annahmen!C187</f>
        <v/>
      </c>
      <c r="F35" s="352">
        <f>C35-D35-E35</f>
        <v/>
      </c>
    </row>
    <row r="38" ht="15" customHeight="1">
      <c r="A38" s="115" t="n"/>
      <c r="B38" s="319" t="inlineStr">
        <is>
          <t>E. 10-JAHRES-PROJEKTION (3-Kanal-Umsatz)</t>
        </is>
      </c>
      <c r="C38" s="115" t="n"/>
      <c r="D38" s="115" t="n"/>
      <c r="E38" s="115" t="n"/>
      <c r="F38" s="115" t="n"/>
      <c r="G38" s="115" t="n"/>
      <c r="H38" s="115" t="n"/>
      <c r="I38" s="115" t="n"/>
      <c r="J38" s="115" t="n"/>
      <c r="K38" s="115" t="n"/>
      <c r="L38" s="115" t="n"/>
      <c r="M38" s="115" t="n"/>
      <c r="N38" s="115" t="n"/>
    </row>
    <row r="39" ht="15" customHeight="1">
      <c r="A39" s="116" t="n"/>
      <c r="B39" s="350" t="inlineStr">
        <is>
          <t>Position</t>
        </is>
      </c>
      <c r="C39" s="350" t="inlineStr">
        <is>
          <t>Einheit</t>
        </is>
      </c>
      <c r="D39" s="350" t="inlineStr">
        <is>
          <t>Basis</t>
        </is>
      </c>
      <c r="E39" s="350" t="inlineStr">
        <is>
          <t>Jahr 1</t>
        </is>
      </c>
      <c r="F39" s="350" t="inlineStr">
        <is>
          <t>Jahr 2</t>
        </is>
      </c>
      <c r="G39" s="350" t="inlineStr">
        <is>
          <t>Jahr 3</t>
        </is>
      </c>
      <c r="H39" s="350" t="inlineStr">
        <is>
          <t>Jahr 4</t>
        </is>
      </c>
      <c r="I39" s="350" t="inlineStr">
        <is>
          <t>Jahr 5</t>
        </is>
      </c>
      <c r="J39" s="350" t="inlineStr">
        <is>
          <t>Jahr 6</t>
        </is>
      </c>
      <c r="K39" s="350" t="inlineStr">
        <is>
          <t>Jahr 7</t>
        </is>
      </c>
      <c r="L39" s="350" t="inlineStr">
        <is>
          <t>Jahr 8</t>
        </is>
      </c>
      <c r="M39" s="350" t="inlineStr">
        <is>
          <t>Jahr 9</t>
        </is>
      </c>
      <c r="N39" s="350" t="inlineStr">
        <is>
          <t>Jahr 10</t>
        </is>
      </c>
    </row>
    <row r="40" ht="15" customHeight="1">
      <c r="B40" s="406" t="inlineStr">
        <is>
          <t>Biomassedichte</t>
        </is>
      </c>
      <c r="C40" s="406" t="inlineStr">
        <is>
          <t>g/l</t>
        </is>
      </c>
      <c r="E40" s="422">
        <f>Annahmen!C104</f>
        <v/>
      </c>
      <c r="F40" s="422">
        <f>Annahmen!C104+Annahmen!C110*1</f>
        <v/>
      </c>
      <c r="G40" s="422">
        <f>Annahmen!C104+Annahmen!C110*2</f>
        <v/>
      </c>
      <c r="H40" s="422">
        <f>Annahmen!C104+Annahmen!C110*3</f>
        <v/>
      </c>
      <c r="I40" s="422">
        <f>Annahmen!C104+Annahmen!C110*4</f>
        <v/>
      </c>
      <c r="J40" s="422">
        <f>Annahmen!C104+Annahmen!C110*5</f>
        <v/>
      </c>
      <c r="K40" s="422">
        <f>Annahmen!C104+Annahmen!C110*6</f>
        <v/>
      </c>
      <c r="L40" s="422">
        <f>Annahmen!C104+Annahmen!C110*7</f>
        <v/>
      </c>
      <c r="M40" s="422">
        <f>Annahmen!C104+Annahmen!C110*8</f>
        <v/>
      </c>
      <c r="N40" s="422">
        <f>Annahmen!C104+Annahmen!C110*9</f>
        <v/>
      </c>
    </row>
    <row r="41" ht="15" customHeight="1">
      <c r="B41" s="314" t="inlineStr">
        <is>
          <t>Kapazität</t>
        </is>
      </c>
      <c r="C41" s="314" t="inlineStr">
        <is>
          <t>kg/Jahr</t>
        </is>
      </c>
      <c r="E41" s="323">
        <f>E40*Annahmen!C8*Annahmen!C14/1000</f>
        <v/>
      </c>
      <c r="F41" s="323">
        <f>F40*Annahmen!C8*Annahmen!C14/1000</f>
        <v/>
      </c>
      <c r="G41" s="323">
        <f>G40*Annahmen!C8*Annahmen!C14/1000</f>
        <v/>
      </c>
      <c r="H41" s="323">
        <f>H40*Annahmen!C8*Annahmen!C14/1000</f>
        <v/>
      </c>
      <c r="I41" s="323">
        <f>I40*Annahmen!C8*Annahmen!C14/1000</f>
        <v/>
      </c>
      <c r="J41" s="323">
        <f>J40*Annahmen!C8*Annahmen!C14/1000</f>
        <v/>
      </c>
      <c r="K41" s="323">
        <f>K40*Annahmen!C8*Annahmen!C14/1000</f>
        <v/>
      </c>
      <c r="L41" s="323">
        <f>L40*Annahmen!C8*Annahmen!C14/1000</f>
        <v/>
      </c>
      <c r="M41" s="323">
        <f>M40*Annahmen!C8*Annahmen!C14/1000</f>
        <v/>
      </c>
      <c r="N41" s="323">
        <f>N40*Annahmen!C8*Annahmen!C14/1000</f>
        <v/>
      </c>
    </row>
    <row r="42" ht="15" customHeight="1">
      <c r="B42" s="406" t="inlineStr">
        <is>
          <t>Auslastung</t>
        </is>
      </c>
      <c r="C42" s="406" t="inlineStr">
        <is>
          <t>%</t>
        </is>
      </c>
      <c r="E42" s="409">
        <f>Annahmen!C10</f>
        <v/>
      </c>
      <c r="F42" s="409">
        <f>Annahmen!C10</f>
        <v/>
      </c>
      <c r="G42" s="409">
        <f>Annahmen!C10</f>
        <v/>
      </c>
      <c r="H42" s="409">
        <f>Annahmen!C10</f>
        <v/>
      </c>
      <c r="I42" s="409">
        <f>Annahmen!C10</f>
        <v/>
      </c>
      <c r="J42" s="409">
        <f>Annahmen!C10</f>
        <v/>
      </c>
      <c r="K42" s="409">
        <f>Annahmen!C10</f>
        <v/>
      </c>
      <c r="L42" s="409">
        <f>Annahmen!C10</f>
        <v/>
      </c>
      <c r="M42" s="409">
        <f>Annahmen!C10</f>
        <v/>
      </c>
      <c r="N42" s="409">
        <f>Annahmen!C10</f>
        <v/>
      </c>
    </row>
    <row r="43" ht="15" customHeight="1">
      <c r="B43" s="314" t="inlineStr">
        <is>
          <t>Tats. Produktion</t>
        </is>
      </c>
      <c r="C43" s="314" t="inlineStr">
        <is>
          <t>kg/Jahr</t>
        </is>
      </c>
      <c r="E43" s="323">
        <f>E41*E42</f>
        <v/>
      </c>
      <c r="F43" s="323">
        <f>F41*F42</f>
        <v/>
      </c>
      <c r="G43" s="323">
        <f>G41*G42</f>
        <v/>
      </c>
      <c r="H43" s="323">
        <f>H41*H42</f>
        <v/>
      </c>
      <c r="I43" s="323">
        <f>I41*I42</f>
        <v/>
      </c>
      <c r="J43" s="323">
        <f>J41*J42</f>
        <v/>
      </c>
      <c r="K43" s="323">
        <f>K41*K42</f>
        <v/>
      </c>
      <c r="L43" s="323">
        <f>L41*L42</f>
        <v/>
      </c>
      <c r="M43" s="323">
        <f>M41*M42</f>
        <v/>
      </c>
      <c r="N43" s="323">
        <f>N41*N42</f>
        <v/>
      </c>
    </row>
    <row r="45" ht="15" customHeight="1">
      <c r="B45" s="314" t="inlineStr">
        <is>
          <t>B2B Bulk Menge</t>
        </is>
      </c>
      <c r="C45" s="314" t="inlineStr">
        <is>
          <t>kg</t>
        </is>
      </c>
      <c r="E45" s="323">
        <f>E43*Annahmen!C80*Annahmen!C120</f>
        <v/>
      </c>
      <c r="F45" s="323">
        <f>F43*Annahmen!C80*Annahmen!C120</f>
        <v/>
      </c>
      <c r="G45" s="323">
        <f>G43*Annahmen!C80*Annahmen!C120</f>
        <v/>
      </c>
      <c r="H45" s="323">
        <f>H43*Annahmen!C80*Annahmen!C120</f>
        <v/>
      </c>
      <c r="I45" s="323">
        <f>I43*Annahmen!C80*Annahmen!C120</f>
        <v/>
      </c>
      <c r="J45" s="323">
        <f>J43*Annahmen!C80*Annahmen!C120</f>
        <v/>
      </c>
      <c r="K45" s="323">
        <f>K43*Annahmen!C80*Annahmen!C120</f>
        <v/>
      </c>
      <c r="L45" s="323">
        <f>L43*Annahmen!C80*Annahmen!C120</f>
        <v/>
      </c>
      <c r="M45" s="323">
        <f>M43*Annahmen!C80*Annahmen!C120</f>
        <v/>
      </c>
      <c r="N45" s="323">
        <f>N43*Annahmen!C80*Annahmen!C120</f>
        <v/>
      </c>
    </row>
    <row r="46" ht="15" customHeight="1">
      <c r="B46" s="406" t="inlineStr">
        <is>
          <t>B2B Bulk Preis</t>
        </is>
      </c>
      <c r="C46" s="406" t="inlineStr">
        <is>
          <t>€/kg</t>
        </is>
      </c>
      <c r="E46" s="418">
        <f>Annahmen!C64</f>
        <v/>
      </c>
      <c r="F46" s="418">
        <f>E46*(1+Annahmen!C67)</f>
        <v/>
      </c>
      <c r="G46" s="418">
        <f>F46*(1+Annahmen!C67)</f>
        <v/>
      </c>
      <c r="H46" s="418">
        <f>G46*(1+Annahmen!C67)</f>
        <v/>
      </c>
      <c r="I46" s="418">
        <f>H46*(1+Annahmen!C67)</f>
        <v/>
      </c>
      <c r="J46" s="418">
        <f>I46*(1+Annahmen!C67)</f>
        <v/>
      </c>
      <c r="K46" s="418">
        <f>J46*(1+Annahmen!C67)</f>
        <v/>
      </c>
      <c r="L46" s="418">
        <f>K46*(1+Annahmen!C67)</f>
        <v/>
      </c>
      <c r="M46" s="418">
        <f>L46*(1+Annahmen!C67)</f>
        <v/>
      </c>
      <c r="N46" s="418">
        <f>M46*(1+Annahmen!C67)</f>
        <v/>
      </c>
    </row>
    <row r="47" ht="15" customHeight="1">
      <c r="B47" s="314" t="inlineStr">
        <is>
          <t>B2B Bulk Umsatz</t>
        </is>
      </c>
      <c r="C47" s="314" t="inlineStr">
        <is>
          <t>€</t>
        </is>
      </c>
      <c r="E47" s="323">
        <f>E45*E46</f>
        <v/>
      </c>
      <c r="F47" s="323">
        <f>F45*F46</f>
        <v/>
      </c>
      <c r="G47" s="323">
        <f>G45*G46</f>
        <v/>
      </c>
      <c r="H47" s="323">
        <f>H45*H46</f>
        <v/>
      </c>
      <c r="I47" s="323">
        <f>I45*I46</f>
        <v/>
      </c>
      <c r="J47" s="323">
        <f>J45*J46</f>
        <v/>
      </c>
      <c r="K47" s="323">
        <f>K45*K46</f>
        <v/>
      </c>
      <c r="L47" s="323">
        <f>L45*L46</f>
        <v/>
      </c>
      <c r="M47" s="323">
        <f>M45*M46</f>
        <v/>
      </c>
      <c r="N47" s="323">
        <f>N45*N46</f>
        <v/>
      </c>
    </row>
    <row r="49" ht="15" customHeight="1">
      <c r="B49" s="314" t="inlineStr">
        <is>
          <t>B2B Retail Menge</t>
        </is>
      </c>
      <c r="C49" s="314" t="inlineStr">
        <is>
          <t>kg</t>
        </is>
      </c>
      <c r="E49" s="323">
        <f>E43*Annahmen!C80*Annahmen!C121</f>
        <v/>
      </c>
      <c r="F49" s="323">
        <f>F43*Annahmen!C80*Annahmen!C121</f>
        <v/>
      </c>
      <c r="G49" s="323">
        <f>G43*Annahmen!C80*Annahmen!C121</f>
        <v/>
      </c>
      <c r="H49" s="323">
        <f>H43*Annahmen!C80*Annahmen!C121</f>
        <v/>
      </c>
      <c r="I49" s="323">
        <f>I43*Annahmen!C80*Annahmen!C121</f>
        <v/>
      </c>
      <c r="J49" s="323">
        <f>J43*Annahmen!C80*Annahmen!C121</f>
        <v/>
      </c>
      <c r="K49" s="323">
        <f>K43*Annahmen!C80*Annahmen!C121</f>
        <v/>
      </c>
      <c r="L49" s="323">
        <f>L43*Annahmen!C80*Annahmen!C121</f>
        <v/>
      </c>
      <c r="M49" s="323">
        <f>M43*Annahmen!C80*Annahmen!C121</f>
        <v/>
      </c>
      <c r="N49" s="323">
        <f>N43*Annahmen!C80*Annahmen!C121</f>
        <v/>
      </c>
    </row>
    <row r="50" ht="15" customHeight="1">
      <c r="B50" s="406" t="inlineStr">
        <is>
          <t>B2B Retail Preis</t>
        </is>
      </c>
      <c r="C50" s="406" t="inlineStr">
        <is>
          <t>€/kg</t>
        </is>
      </c>
      <c r="E50" s="418">
        <f>Annahmen!C127</f>
        <v/>
      </c>
      <c r="F50" s="418">
        <f>E50*(1+Annahmen!C130)</f>
        <v/>
      </c>
      <c r="G50" s="418">
        <f>F50*(1+Annahmen!C130)</f>
        <v/>
      </c>
      <c r="H50" s="418">
        <f>G50*(1+Annahmen!C130)</f>
        <v/>
      </c>
      <c r="I50" s="418">
        <f>H50*(1+Annahmen!C130)</f>
        <v/>
      </c>
      <c r="J50" s="418">
        <f>I50*(1+Annahmen!C130)</f>
        <v/>
      </c>
      <c r="K50" s="418">
        <f>J50*(1+Annahmen!C130)</f>
        <v/>
      </c>
      <c r="L50" s="418">
        <f>K50*(1+Annahmen!C130)</f>
        <v/>
      </c>
      <c r="M50" s="418">
        <f>L50*(1+Annahmen!C130)</f>
        <v/>
      </c>
      <c r="N50" s="418">
        <f>M50*(1+Annahmen!C130)</f>
        <v/>
      </c>
    </row>
    <row r="51" ht="15" customHeight="1">
      <c r="B51" s="314" t="inlineStr">
        <is>
          <t>B2B Retail Umsatz</t>
        </is>
      </c>
      <c r="C51" s="314" t="inlineStr">
        <is>
          <t>€</t>
        </is>
      </c>
      <c r="E51" s="323">
        <f>E49*E50</f>
        <v/>
      </c>
      <c r="F51" s="323">
        <f>F49*F50</f>
        <v/>
      </c>
      <c r="G51" s="323">
        <f>G49*G50</f>
        <v/>
      </c>
      <c r="H51" s="323">
        <f>H49*H50</f>
        <v/>
      </c>
      <c r="I51" s="323">
        <f>I49*I50</f>
        <v/>
      </c>
      <c r="J51" s="323">
        <f>J49*J50</f>
        <v/>
      </c>
      <c r="K51" s="323">
        <f>K49*K50</f>
        <v/>
      </c>
      <c r="L51" s="323">
        <f>L49*L50</f>
        <v/>
      </c>
      <c r="M51" s="323">
        <f>M49*M50</f>
        <v/>
      </c>
      <c r="N51" s="323">
        <f>N49*N50</f>
        <v/>
      </c>
    </row>
    <row r="53" ht="15" customHeight="1">
      <c r="B53" s="314" t="inlineStr">
        <is>
          <t>B2C Menge</t>
        </is>
      </c>
      <c r="C53" s="314" t="inlineStr">
        <is>
          <t>kg</t>
        </is>
      </c>
      <c r="E53" s="323">
        <f>E43*Annahmen!C81</f>
        <v/>
      </c>
      <c r="F53" s="323">
        <f>F43*Annahmen!C81</f>
        <v/>
      </c>
      <c r="G53" s="323">
        <f>G43*Annahmen!C81</f>
        <v/>
      </c>
      <c r="H53" s="323">
        <f>H43*Annahmen!C81</f>
        <v/>
      </c>
      <c r="I53" s="323">
        <f>I43*Annahmen!C81</f>
        <v/>
      </c>
      <c r="J53" s="323">
        <f>J43*Annahmen!C81</f>
        <v/>
      </c>
      <c r="K53" s="323">
        <f>K43*Annahmen!C81</f>
        <v/>
      </c>
      <c r="L53" s="323">
        <f>L43*Annahmen!C81</f>
        <v/>
      </c>
      <c r="M53" s="323">
        <f>M43*Annahmen!C81</f>
        <v/>
      </c>
      <c r="N53" s="323">
        <f>N43*Annahmen!C81</f>
        <v/>
      </c>
    </row>
    <row r="54" ht="15" customHeight="1">
      <c r="B54" s="406" t="inlineStr">
        <is>
          <t>B2C Preis</t>
        </is>
      </c>
      <c r="C54" s="406" t="inlineStr">
        <is>
          <t>€/kg</t>
        </is>
      </c>
      <c r="E54" s="418">
        <f>Annahmen!C90</f>
        <v/>
      </c>
      <c r="F54" s="418">
        <f>E54*(1+Annahmen!C93)</f>
        <v/>
      </c>
      <c r="G54" s="418">
        <f>F54*(1+Annahmen!C93)</f>
        <v/>
      </c>
      <c r="H54" s="418">
        <f>G54*(1+Annahmen!C93)</f>
        <v/>
      </c>
      <c r="I54" s="418">
        <f>H54*(1+Annahmen!C93)</f>
        <v/>
      </c>
      <c r="J54" s="418">
        <f>I54*(1+Annahmen!C93)</f>
        <v/>
      </c>
      <c r="K54" s="418">
        <f>J54*(1+Annahmen!C93)</f>
        <v/>
      </c>
      <c r="L54" s="418">
        <f>K54*(1+Annahmen!C93)</f>
        <v/>
      </c>
      <c r="M54" s="418">
        <f>L54*(1+Annahmen!C93)</f>
        <v/>
      </c>
      <c r="N54" s="418">
        <f>M54*(1+Annahmen!C93)</f>
        <v/>
      </c>
    </row>
    <row r="55" ht="15" customHeight="1">
      <c r="B55" s="314" t="inlineStr">
        <is>
          <t>B2C Umsatz</t>
        </is>
      </c>
      <c r="C55" s="314" t="inlineStr">
        <is>
          <t>€</t>
        </is>
      </c>
      <c r="E55" s="323">
        <f>E53*E54</f>
        <v/>
      </c>
      <c r="F55" s="323">
        <f>F53*F54</f>
        <v/>
      </c>
      <c r="G55" s="323">
        <f>G53*G54</f>
        <v/>
      </c>
      <c r="H55" s="323">
        <f>H53*H54</f>
        <v/>
      </c>
      <c r="I55" s="323">
        <f>I53*I54</f>
        <v/>
      </c>
      <c r="J55" s="323">
        <f>J53*J54</f>
        <v/>
      </c>
      <c r="K55" s="323">
        <f>K53*K54</f>
        <v/>
      </c>
      <c r="L55" s="323">
        <f>L53*L54</f>
        <v/>
      </c>
      <c r="M55" s="323">
        <f>M53*M54</f>
        <v/>
      </c>
      <c r="N55" s="323">
        <f>N53*N54</f>
        <v/>
      </c>
    </row>
    <row r="57" ht="15" customHeight="1">
      <c r="B57" s="376" t="inlineStr">
        <is>
          <t>GESAMTUMSATZ</t>
        </is>
      </c>
      <c r="C57" s="376" t="inlineStr">
        <is>
          <t>€</t>
        </is>
      </c>
      <c r="E57" s="378">
        <f>E47+E51+E55</f>
        <v/>
      </c>
      <c r="F57" s="378">
        <f>F47+F51+F55</f>
        <v/>
      </c>
      <c r="G57" s="378">
        <f>G47+G51+G55</f>
        <v/>
      </c>
      <c r="H57" s="378">
        <f>H47+H51+H55</f>
        <v/>
      </c>
      <c r="I57" s="378">
        <f>I47+I51+I55</f>
        <v/>
      </c>
      <c r="J57" s="378">
        <f>J47+J51+J55</f>
        <v/>
      </c>
      <c r="K57" s="378">
        <f>K47+K51+K55</f>
        <v/>
      </c>
      <c r="L57" s="378">
        <f>L47+L51+L55</f>
        <v/>
      </c>
      <c r="M57" s="378">
        <f>M47+M51+M55</f>
        <v/>
      </c>
      <c r="N57" s="378">
        <f>N47+N51+N55</f>
        <v/>
      </c>
    </row>
    <row r="58" ht="15" customHeight="1">
      <c r="B58" s="406" t="inlineStr">
        <is>
          <t>Mischpreis</t>
        </is>
      </c>
      <c r="C58" s="406" t="inlineStr">
        <is>
          <t>€/kg</t>
        </is>
      </c>
      <c r="E58" s="418">
        <f>IF(E43&gt;0,E57/E43,0)</f>
        <v/>
      </c>
      <c r="F58" s="418">
        <f>IF(F43&gt;0,F57/F43,0)</f>
        <v/>
      </c>
      <c r="G58" s="418">
        <f>IF(G43&gt;0,G57/G43,0)</f>
        <v/>
      </c>
      <c r="H58" s="418">
        <f>IF(H43&gt;0,H57/H43,0)</f>
        <v/>
      </c>
      <c r="I58" s="418">
        <f>IF(I43&gt;0,I57/I43,0)</f>
        <v/>
      </c>
      <c r="J58" s="418">
        <f>IF(J43&gt;0,J57/J43,0)</f>
        <v/>
      </c>
      <c r="K58" s="418">
        <f>IF(K43&gt;0,K57/K43,0)</f>
        <v/>
      </c>
      <c r="L58" s="418">
        <f>IF(L43&gt;0,L57/L43,0)</f>
        <v/>
      </c>
      <c r="M58" s="418">
        <f>IF(M43&gt;0,M57/M43,0)</f>
        <v/>
      </c>
      <c r="N58" s="418">
        <f>IF(N43&gt;0,N57/N43,0)</f>
        <v/>
      </c>
    </row>
    <row r="60" ht="15" customHeight="1">
      <c r="B60" s="406" t="inlineStr">
        <is>
          <t>Verp.+Versand Gesamt</t>
        </is>
      </c>
      <c r="C60" s="406" t="inlineStr">
        <is>
          <t>€</t>
        </is>
      </c>
      <c r="E60" s="410">
        <f>'Verpackung &amp; Versand'!E26</f>
        <v/>
      </c>
      <c r="F60" s="410">
        <f>'Verpackung &amp; Versand'!F26</f>
        <v/>
      </c>
      <c r="G60" s="410">
        <f>'Verpackung &amp; Versand'!G26</f>
        <v/>
      </c>
      <c r="H60" s="410">
        <f>'Verpackung &amp; Versand'!H26</f>
        <v/>
      </c>
      <c r="I60" s="410">
        <f>'Verpackung &amp; Versand'!I26</f>
        <v/>
      </c>
      <c r="J60" s="410">
        <f>'Verpackung &amp; Versand'!J26</f>
        <v/>
      </c>
      <c r="K60" s="410">
        <f>'Verpackung &amp; Versand'!K26</f>
        <v/>
      </c>
      <c r="L60" s="410">
        <f>'Verpackung &amp; Versand'!L26</f>
        <v/>
      </c>
      <c r="M60" s="410">
        <f>'Verpackung &amp; Versand'!M26</f>
        <v/>
      </c>
      <c r="N60" s="410">
        <f>'Verpackung &amp; Versand'!N26</f>
        <v/>
      </c>
    </row>
    <row r="61" ht="15" customHeight="1">
      <c r="B61" s="376" t="inlineStr">
        <is>
          <t>Nettoumsatz</t>
        </is>
      </c>
      <c r="C61" s="376" t="inlineStr">
        <is>
          <t>€</t>
        </is>
      </c>
      <c r="E61" s="378">
        <f>E57-E60</f>
        <v/>
      </c>
      <c r="F61" s="378">
        <f>F57-F60</f>
        <v/>
      </c>
      <c r="G61" s="378">
        <f>G57-G60</f>
        <v/>
      </c>
      <c r="H61" s="378">
        <f>H57-H60</f>
        <v/>
      </c>
      <c r="I61" s="378">
        <f>I57-I60</f>
        <v/>
      </c>
      <c r="J61" s="378">
        <f>J57-J60</f>
        <v/>
      </c>
      <c r="K61" s="378">
        <f>K57-K60</f>
        <v/>
      </c>
      <c r="L61" s="378">
        <f>L57-L60</f>
        <v/>
      </c>
      <c r="M61" s="378">
        <f>M57-M60</f>
        <v/>
      </c>
      <c r="N61" s="378">
        <f>N57-N60</f>
        <v/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17.xml><?xml version="1.0" encoding="utf-8"?>
<worksheet xmlns="http://schemas.openxmlformats.org/spreadsheetml/2006/main">
  <sheetPr>
    <tabColor rgb="0000B4A0"/>
    <outlinePr summaryBelow="1" summaryRight="1"/>
    <pageSetUpPr fitToPage="1"/>
  </sheetPr>
  <dimension ref="B1:Q68"/>
  <sheetViews>
    <sheetView zoomScaleNormal="100" workbookViewId="0">
      <pane ySplit="1" topLeftCell="A2" activePane="bottomLeft" state="frozen"/>
      <selection pane="bottomLeft" activeCell="F1" sqref="F1"/>
      <selection pane="bottomLeft" activeCell="A22" sqref="A22"/>
      <selection pane="bottomRight" activeCell="B46" sqref="B46"/>
    </sheetView>
  </sheetViews>
  <sheetFormatPr baseColWidth="10" defaultColWidth="8.6640625" defaultRowHeight="15" customHeight="1"/>
  <cols>
    <col width="10" customWidth="1" min="1" max="1"/>
    <col width="30" customWidth="1" min="2" max="2"/>
    <col width="10" customWidth="1" min="3" max="3"/>
    <col width="30" customWidth="1" min="4" max="4"/>
    <col width="22" customWidth="1" min="5" max="14"/>
    <col width="28" customWidth="1" min="6" max="6"/>
    <col width="28" customWidth="1" min="7" max="7"/>
    <col width="28" customWidth="1" min="8" max="8"/>
    <col width="28" customWidth="1" min="9" max="9"/>
    <col width="28" customWidth="1" min="10" max="10"/>
    <col width="28" customWidth="1" min="11" max="11"/>
    <col width="28" customWidth="1" min="12" max="12"/>
    <col width="28" customWidth="1" min="13" max="13"/>
    <col width="28" customWidth="1" min="14" max="14"/>
    <col width="30" customWidth="1" min="15" max="15"/>
    <col width="30" customWidth="1" min="16" max="16"/>
    <col width="30" customWidth="1" min="17" max="17"/>
  </cols>
  <sheetData>
    <row r="1" ht="24" customHeight="1">
      <c r="B1" s="405" t="inlineStr">
        <is>
          <t>PHYOX BioGenesis (NovaVersum GmbH) – Marketing &amp; Vertriebskosten</t>
        </is>
      </c>
      <c r="C1" s="412" t="n"/>
      <c r="D1" s="412" t="n"/>
      <c r="E1" s="412" t="n"/>
      <c r="F1" s="412" t="n"/>
      <c r="G1" s="412" t="n"/>
      <c r="H1" s="412" t="n"/>
      <c r="I1" s="412" t="n"/>
      <c r="J1" s="412" t="n"/>
      <c r="K1" s="412" t="n"/>
      <c r="L1" s="412" t="n"/>
      <c r="M1" s="412" t="n"/>
      <c r="N1" s="413" t="n"/>
    </row>
    <row r="2" ht="15" customHeight="1">
      <c r="B2" s="406" t="inlineStr">
        <is>
          <t>B2B + B2C Marketingbudget, 10-Jahres-Projektion</t>
        </is>
      </c>
      <c r="C2" s="412" t="n"/>
      <c r="D2" s="412" t="n"/>
      <c r="E2" s="412" t="n"/>
      <c r="F2" s="412" t="n"/>
      <c r="G2" s="412" t="n"/>
      <c r="H2" s="412" t="n"/>
      <c r="I2" s="412" t="n"/>
      <c r="J2" s="412" t="n"/>
      <c r="K2" s="412" t="n"/>
      <c r="L2" s="412" t="n"/>
      <c r="M2" s="412" t="n"/>
      <c r="N2" s="413" t="n"/>
    </row>
    <row r="3"/>
    <row r="4" ht="15" customHeight="1">
      <c r="B4" s="325" t="inlineStr">
        <is>
          <t>A. MARKETING-ANNAHMEN (Steuerungsparameter)</t>
        </is>
      </c>
      <c r="C4" s="412" t="n"/>
      <c r="D4" s="412" t="n"/>
      <c r="E4" s="412" t="n"/>
      <c r="F4" s="412" t="n"/>
      <c r="G4" s="412" t="n"/>
      <c r="H4" s="412" t="n"/>
      <c r="I4" s="412" t="n"/>
      <c r="J4" s="412" t="n"/>
      <c r="K4" s="412" t="n"/>
      <c r="L4" s="412" t="n"/>
      <c r="M4" s="412" t="n"/>
      <c r="N4" s="412" t="n"/>
      <c r="O4" s="412" t="n"/>
      <c r="P4" s="412" t="n"/>
      <c r="Q4" s="413" t="n"/>
    </row>
    <row r="5" ht="15" customHeight="1">
      <c r="B5" s="334" t="inlineStr">
        <is>
          <t>Position</t>
        </is>
      </c>
      <c r="C5" s="334" t="inlineStr">
        <is>
          <t>Einheit</t>
        </is>
      </c>
      <c r="D5" s="334" t="inlineStr">
        <is>
          <t>Anmerkung</t>
        </is>
      </c>
      <c r="E5" s="334" t="inlineStr">
        <is>
          <t>Jahr 1</t>
        </is>
      </c>
      <c r="F5" s="334" t="inlineStr">
        <is>
          <t>Jahr 2</t>
        </is>
      </c>
      <c r="G5" s="334" t="inlineStr">
        <is>
          <t>Jahr 3</t>
        </is>
      </c>
      <c r="H5" s="334" t="inlineStr">
        <is>
          <t>Jahr 4</t>
        </is>
      </c>
      <c r="I5" s="334" t="inlineStr">
        <is>
          <t>Jahr 5</t>
        </is>
      </c>
      <c r="J5" s="334" t="inlineStr">
        <is>
          <t>Jahr 6</t>
        </is>
      </c>
      <c r="K5" s="334" t="inlineStr">
        <is>
          <t>Jahr 7</t>
        </is>
      </c>
      <c r="L5" s="334" t="inlineStr">
        <is>
          <t>Jahr 8</t>
        </is>
      </c>
      <c r="M5" s="334" t="inlineStr">
        <is>
          <t>Jahr 9</t>
        </is>
      </c>
      <c r="N5" s="334" t="inlineStr">
        <is>
          <t>Jahr 10</t>
        </is>
      </c>
      <c r="O5" s="334" t="inlineStr">
        <is>
          <t>Branchen-Benchmark</t>
        </is>
      </c>
      <c r="P5" s="334" t="inlineStr">
        <is>
          <t>Einordnung PHYOX</t>
        </is>
      </c>
      <c r="Q5" s="334" t="inlineStr">
        <is>
          <t>Quelle / Referenz</t>
        </is>
      </c>
    </row>
    <row r="6" ht="27.75" customHeight="1">
      <c r="B6" s="406" t="inlineStr">
        <is>
          <t>B2B Marketing % vom B2B-Umsatz</t>
        </is>
      </c>
      <c r="C6" s="406" t="inlineStr">
        <is>
          <t>%</t>
        </is>
      </c>
      <c r="D6" s="406" t="inlineStr">
        <is>
          <t>B2B: kein Paid Advertising, nur Direct Sales/CRM (KB v2)</t>
        </is>
      </c>
      <c r="E6" s="336" t="n">
        <v>0.005</v>
      </c>
      <c r="F6" s="336" t="n">
        <v>0.005</v>
      </c>
      <c r="G6" s="336" t="n">
        <v>0.005</v>
      </c>
      <c r="H6" s="336" t="n">
        <v>0.005</v>
      </c>
      <c r="I6" s="336" t="n">
        <v>0.005</v>
      </c>
      <c r="J6" s="336" t="n">
        <v>0.005</v>
      </c>
      <c r="K6" s="336" t="n">
        <v>0.005</v>
      </c>
      <c r="L6" s="336" t="n">
        <v>0.005</v>
      </c>
      <c r="M6" s="336" t="n">
        <v>0.005</v>
      </c>
      <c r="N6" s="336" t="n">
        <v>0.005</v>
      </c>
      <c r="O6" s="406" t="inlineStr">
        <is>
          <t>0.3-1% (B2B Ingredients Direct Sales)</t>
        </is>
      </c>
      <c r="P6" s="401" t="inlineStr">
        <is>
          <t>Im Korridor – 8% = obere Grenze Ingredient Supplier, sinkt auf 5% (Branchenstandard)</t>
        </is>
      </c>
      <c r="Q6" s="406" t="inlineStr">
        <is>
          <t>Gartner CMO Survey 2024; Forrester 2025; ADM/Balchem 10-K</t>
        </is>
      </c>
    </row>
    <row r="7" ht="42" customHeight="1">
      <c r="B7" s="314" t="inlineStr">
        <is>
          <t>B2C Marketing % vom B2C-Umsatz</t>
        </is>
      </c>
      <c r="C7" s="314" t="inlineStr">
        <is>
          <t>%</t>
        </is>
      </c>
      <c r="D7" s="314" t="inlineStr">
        <is>
          <t>B2C: ROAS-basiert (KB v2 Abschnitt 12.2)</t>
        </is>
      </c>
      <c r="E7" s="336" t="n">
        <v>0.014</v>
      </c>
      <c r="F7" s="336" t="n">
        <v>0.152</v>
      </c>
      <c r="G7" s="336" t="n">
        <v>0.139</v>
      </c>
      <c r="H7" s="336" t="n">
        <v>0.127</v>
      </c>
      <c r="I7" s="336" t="n">
        <v>0.116</v>
      </c>
      <c r="J7" s="336" t="n">
        <v>0.105</v>
      </c>
      <c r="K7" s="336" t="n">
        <v>0.096</v>
      </c>
      <c r="L7" s="336" t="n">
        <v>0.08599999999999999</v>
      </c>
      <c r="M7" s="336" t="n">
        <v>0.078</v>
      </c>
      <c r="N7" s="336" t="n">
        <v>0.07099999999999999</v>
      </c>
      <c r="O7" s="314" t="inlineStr">
        <is>
          <t>5-15% (ROAS-optimiertes DTC, KI-Inhouse)</t>
        </is>
      </c>
      <c r="P7" s="373" t="inlineStr">
        <is>
          <t>20% unter Durchschnitt – KI-Avatar-Marketing + Inhouse-Agentur + Low-Cost Remote-Team</t>
        </is>
      </c>
      <c r="Q7" s="314" t="inlineStr">
        <is>
          <t>Herbalife ~39% SGA; Branchenbenchmark DTC Health; Sopro 2025</t>
        </is>
      </c>
    </row>
    <row r="8" ht="27.75" customHeight="1">
      <c r="B8" s="406" t="inlineStr">
        <is>
          <t>Setup-Kosten (einmalig, Jahr 1)</t>
        </is>
      </c>
      <c r="C8" s="406" t="inlineStr">
        <is>
          <t>€</t>
        </is>
      </c>
      <c r="D8" s="406" t="inlineStr">
        <is>
          <t>Shopify, Branding, Fotografie</t>
        </is>
      </c>
      <c r="E8" s="336" t="n">
        <v>12000</v>
      </c>
      <c r="F8" s="411" t="n">
        <v>0</v>
      </c>
      <c r="G8" s="411" t="n">
        <v>0</v>
      </c>
      <c r="H8" s="411" t="n">
        <v>0</v>
      </c>
      <c r="I8" s="411" t="n">
        <v>0</v>
      </c>
      <c r="J8" s="411" t="n">
        <v>0</v>
      </c>
      <c r="K8" s="411" t="n">
        <v>0</v>
      </c>
      <c r="L8" s="411" t="n">
        <v>0</v>
      </c>
      <c r="M8" s="411" t="n">
        <v>0</v>
      </c>
      <c r="N8" s="411" t="n">
        <v>0</v>
      </c>
      <c r="O8" s="406" t="inlineStr">
        <is>
          <t>€10k-25k (E-Commerce Setup)</t>
        </is>
      </c>
      <c r="P8" s="373" t="inlineStr">
        <is>
          <t>Marktkonform – Shopify + Branding Minimum</t>
        </is>
      </c>
      <c r="Q8" s="406" t="inlineStr">
        <is>
          <t>Shopify Enterprise Pricing; Branchenstandard</t>
        </is>
      </c>
    </row>
    <row r="9" ht="27.75" customHeight="1">
      <c r="B9" s="314" t="inlineStr">
        <is>
          <t>B2B: Anteil Performance Marketing</t>
        </is>
      </c>
      <c r="C9" s="314" t="inlineStr">
        <is>
          <t>%</t>
        </is>
      </c>
      <c r="D9" s="314" t="inlineStr">
        <is>
          <t>Google Ads, LinkedIn Ads</t>
        </is>
      </c>
      <c r="E9" s="329" t="n">
        <v>0.25</v>
      </c>
      <c r="F9" s="329" t="n">
        <v>0.25</v>
      </c>
      <c r="G9" s="329" t="n">
        <v>0.25</v>
      </c>
      <c r="H9" s="329" t="n">
        <v>0.25</v>
      </c>
      <c r="I9" s="329" t="n">
        <v>0.25</v>
      </c>
      <c r="J9" s="329" t="n">
        <v>0.25</v>
      </c>
      <c r="K9" s="329" t="n">
        <v>0.25</v>
      </c>
      <c r="L9" s="329" t="n">
        <v>0.25</v>
      </c>
      <c r="M9" s="329" t="n">
        <v>0.25</v>
      </c>
      <c r="N9" s="329" t="n">
        <v>0.25</v>
      </c>
      <c r="O9" s="314" t="inlineStr">
        <is>
          <t>15-25% (B2B digital)</t>
        </is>
      </c>
      <c r="P9" s="373" t="inlineStr">
        <is>
          <t>Leicht unter Norm – B2B kauft stärker über Direct Sales</t>
        </is>
      </c>
      <c r="Q9" s="314" t="inlineStr">
        <is>
          <t>HubSpot B2B Marketing Report 2024</t>
        </is>
      </c>
    </row>
    <row r="10" ht="27.75" customHeight="1">
      <c r="B10" s="406" t="inlineStr">
        <is>
          <t>B2B: Anteil Sales &amp; Outreach</t>
        </is>
      </c>
      <c r="C10" s="406" t="inlineStr">
        <is>
          <t>%</t>
        </is>
      </c>
      <c r="D10" s="406" t="inlineStr">
        <is>
          <t>Remote Team, CRM, Messen</t>
        </is>
      </c>
      <c r="E10" s="411" t="n">
        <v>0.5</v>
      </c>
      <c r="F10" s="411" t="n">
        <v>0.5</v>
      </c>
      <c r="G10" s="411" t="n">
        <v>0.5</v>
      </c>
      <c r="H10" s="411" t="n">
        <v>0.5</v>
      </c>
      <c r="I10" s="411" t="n">
        <v>0.5</v>
      </c>
      <c r="J10" s="411" t="n">
        <v>0.5</v>
      </c>
      <c r="K10" s="411" t="n">
        <v>0.5</v>
      </c>
      <c r="L10" s="411" t="n">
        <v>0.5</v>
      </c>
      <c r="M10" s="411" t="n">
        <v>0.5</v>
      </c>
      <c r="N10" s="411" t="n">
        <v>0.5</v>
      </c>
      <c r="O10" s="406" t="inlineStr">
        <is>
          <t>40-55% (B2B Ingredient)</t>
        </is>
      </c>
      <c r="P10" s="373" t="inlineStr">
        <is>
          <t>Im Korridor – Hauptkanal B2B, KI-gestütztes Prospecting</t>
        </is>
      </c>
      <c r="Q10" s="406" t="inlineStr">
        <is>
          <t>B2B Ingredient Best Practice; BDC</t>
        </is>
      </c>
    </row>
    <row r="11" ht="15" customHeight="1">
      <c r="B11" s="314" t="inlineStr">
        <is>
          <t>B2B: Anteil Content &amp; SEO</t>
        </is>
      </c>
      <c r="C11" s="314" t="inlineStr">
        <is>
          <t>%</t>
        </is>
      </c>
      <c r="D11" s="314" t="inlineStr">
        <is>
          <t>Blog, Whitepaper, Video</t>
        </is>
      </c>
      <c r="E11" s="329" t="n">
        <v>0.15</v>
      </c>
      <c r="F11" s="329" t="n">
        <v>0.15</v>
      </c>
      <c r="G11" s="329" t="n">
        <v>0.15</v>
      </c>
      <c r="H11" s="329" t="n">
        <v>0.15</v>
      </c>
      <c r="I11" s="329" t="n">
        <v>0.15</v>
      </c>
      <c r="J11" s="329" t="n">
        <v>0.15</v>
      </c>
      <c r="K11" s="329" t="n">
        <v>0.15</v>
      </c>
      <c r="L11" s="329" t="n">
        <v>0.15</v>
      </c>
      <c r="M11" s="329" t="n">
        <v>0.15</v>
      </c>
      <c r="N11" s="329" t="n">
        <v>0.15</v>
      </c>
      <c r="O11" s="314" t="inlineStr">
        <is>
          <t>10-20%</t>
        </is>
      </c>
      <c r="P11" s="373" t="inlineStr">
        <is>
          <t>Standard</t>
        </is>
      </c>
      <c r="Q11" s="314" t="inlineStr">
        <is>
          <t>Content Marketing Institute 2024</t>
        </is>
      </c>
    </row>
    <row r="12" ht="15" customHeight="1">
      <c r="B12" s="406" t="inlineStr">
        <is>
          <t>B2B: Anteil Tools &amp; Infrastruktur</t>
        </is>
      </c>
      <c r="C12" s="406" t="inlineStr">
        <is>
          <t>%</t>
        </is>
      </c>
      <c r="D12" s="406" t="inlineStr">
        <is>
          <t>CRM, E-Mail, Analytics</t>
        </is>
      </c>
      <c r="E12" s="411" t="n">
        <v>0.1</v>
      </c>
      <c r="F12" s="411" t="n">
        <v>0.1</v>
      </c>
      <c r="G12" s="411" t="n">
        <v>0.1</v>
      </c>
      <c r="H12" s="411" t="n">
        <v>0.1</v>
      </c>
      <c r="I12" s="411" t="n">
        <v>0.1</v>
      </c>
      <c r="J12" s="411" t="n">
        <v>0.1</v>
      </c>
      <c r="K12" s="411" t="n">
        <v>0.1</v>
      </c>
      <c r="L12" s="411" t="n">
        <v>0.1</v>
      </c>
      <c r="M12" s="411" t="n">
        <v>0.1</v>
      </c>
      <c r="N12" s="411" t="n">
        <v>0.1</v>
      </c>
      <c r="O12" s="406" t="inlineStr">
        <is>
          <t>5-12%</t>
        </is>
      </c>
      <c r="P12" s="373" t="inlineStr">
        <is>
          <t>Standard</t>
        </is>
      </c>
      <c r="Q12" s="406" t="inlineStr">
        <is>
          <t>Gartner MarTech Survey</t>
        </is>
      </c>
    </row>
    <row r="13" ht="27.75" customHeight="1">
      <c r="B13" s="314" t="inlineStr">
        <is>
          <t>B2C: Anteil Performance Marketing</t>
        </is>
      </c>
      <c r="C13" s="314" t="inlineStr">
        <is>
          <t>%</t>
        </is>
      </c>
      <c r="D13" s="314" t="inlineStr">
        <is>
          <t>Meta, Google, TikTok Ads</t>
        </is>
      </c>
      <c r="E13" s="329" t="n">
        <v>0.55</v>
      </c>
      <c r="F13" s="329" t="n">
        <v>0.55</v>
      </c>
      <c r="G13" s="329" t="n">
        <v>0.55</v>
      </c>
      <c r="H13" s="329" t="n">
        <v>0.55</v>
      </c>
      <c r="I13" s="329" t="n">
        <v>0.55</v>
      </c>
      <c r="J13" s="329" t="n">
        <v>0.55</v>
      </c>
      <c r="K13" s="329" t="n">
        <v>0.55</v>
      </c>
      <c r="L13" s="329" t="n">
        <v>0.55</v>
      </c>
      <c r="M13" s="329" t="n">
        <v>0.55</v>
      </c>
      <c r="N13" s="329" t="n">
        <v>0.55</v>
      </c>
      <c r="O13" s="314" t="inlineStr">
        <is>
          <t>40-60% (DTC Supplement)</t>
        </is>
      </c>
      <c r="P13" s="373" t="inlineStr">
        <is>
          <t>Oberer Bereich – Haupttreiber DTC-Akquise mit KI-optimiertem Bidding</t>
        </is>
      </c>
      <c r="Q13" s="314" t="inlineStr">
        <is>
          <t>Meta/Google Ads Benchmark Supplements</t>
        </is>
      </c>
    </row>
    <row r="14" ht="27.75" customHeight="1">
      <c r="B14" s="406" t="inlineStr">
        <is>
          <t>B2C: Anteil Influencer &amp; PR</t>
        </is>
      </c>
      <c r="C14" s="406" t="inlineStr">
        <is>
          <t>%</t>
        </is>
      </c>
      <c r="D14" s="406" t="inlineStr">
        <is>
          <t>Micro-Influencer, ROAS 5-8x</t>
        </is>
      </c>
      <c r="E14" s="411" t="n">
        <v>0.05</v>
      </c>
      <c r="F14" s="411" t="n">
        <v>0.05</v>
      </c>
      <c r="G14" s="411" t="n">
        <v>0.05</v>
      </c>
      <c r="H14" s="411" t="n">
        <v>0.05</v>
      </c>
      <c r="I14" s="411" t="n">
        <v>0.05</v>
      </c>
      <c r="J14" s="411" t="n">
        <v>0.05</v>
      </c>
      <c r="K14" s="411" t="n">
        <v>0.05</v>
      </c>
      <c r="L14" s="411" t="n">
        <v>0.05</v>
      </c>
      <c r="M14" s="411" t="n">
        <v>0.05</v>
      </c>
      <c r="N14" s="411" t="n">
        <v>0.05</v>
      </c>
      <c r="O14" s="406" t="inlineStr">
        <is>
          <t>10-20% (DTC Supplement)</t>
        </is>
      </c>
      <c r="P14" s="373" t="inlineStr">
        <is>
          <t>Deutlich unter Norm – KI-Avatare (HeyGen) ersetzen traditionelle Influencer</t>
        </is>
      </c>
      <c r="Q14" s="406" t="inlineStr">
        <is>
          <t>Influencer Marketing Hub 2024</t>
        </is>
      </c>
    </row>
    <row r="15" ht="15" customHeight="1">
      <c r="B15" s="314" t="inlineStr">
        <is>
          <t>B2C: Anteil Content &amp; Social Media</t>
        </is>
      </c>
      <c r="C15" s="314" t="inlineStr">
        <is>
          <t>%</t>
        </is>
      </c>
      <c r="D15" s="314" t="inlineStr">
        <is>
          <t>Remote Team, Video, Grafik</t>
        </is>
      </c>
      <c r="E15" s="329" t="n">
        <v>0.25</v>
      </c>
      <c r="F15" s="329" t="n">
        <v>0.25</v>
      </c>
      <c r="G15" s="329" t="n">
        <v>0.25</v>
      </c>
      <c r="H15" s="329" t="n">
        <v>0.25</v>
      </c>
      <c r="I15" s="329" t="n">
        <v>0.25</v>
      </c>
      <c r="J15" s="329" t="n">
        <v>0.25</v>
      </c>
      <c r="K15" s="329" t="n">
        <v>0.25</v>
      </c>
      <c r="L15" s="329" t="n">
        <v>0.25</v>
      </c>
      <c r="M15" s="329" t="n">
        <v>0.25</v>
      </c>
      <c r="N15" s="329" t="n">
        <v>0.25</v>
      </c>
      <c r="O15" s="314" t="inlineStr">
        <is>
          <t>15-25%</t>
        </is>
      </c>
      <c r="P15" s="373" t="inlineStr">
        <is>
          <t>Standard</t>
        </is>
      </c>
      <c r="Q15" s="314" t="inlineStr">
        <is>
          <t>Social Media Examiner Industry Report</t>
        </is>
      </c>
    </row>
    <row r="16" ht="27.75" customHeight="1">
      <c r="B16" s="406" t="inlineStr">
        <is>
          <t>B2C: Anteil E-Mail &amp; Retention</t>
        </is>
      </c>
      <c r="C16" s="406" t="inlineStr">
        <is>
          <t>%</t>
        </is>
      </c>
      <c r="D16" s="406" t="inlineStr">
        <is>
          <t>Newsletter, CRM, Loyalty</t>
        </is>
      </c>
      <c r="E16" s="411" t="n">
        <v>0.1</v>
      </c>
      <c r="F16" s="411" t="n">
        <v>0.1</v>
      </c>
      <c r="G16" s="411" t="n">
        <v>0.1</v>
      </c>
      <c r="H16" s="411" t="n">
        <v>0.1</v>
      </c>
      <c r="I16" s="411" t="n">
        <v>0.1</v>
      </c>
      <c r="J16" s="411" t="n">
        <v>0.1</v>
      </c>
      <c r="K16" s="411" t="n">
        <v>0.1</v>
      </c>
      <c r="L16" s="411" t="n">
        <v>0.1</v>
      </c>
      <c r="M16" s="411" t="n">
        <v>0.1</v>
      </c>
      <c r="N16" s="411" t="n">
        <v>0.1</v>
      </c>
      <c r="O16" s="406" t="inlineStr">
        <is>
          <t>5-15% (Best Practice DTC)</t>
        </is>
      </c>
      <c r="P16" s="373" t="inlineStr">
        <is>
          <t>Im Korridor – Erhöht wegen KI-gestützter Retention (Klaviyo AI)</t>
        </is>
      </c>
      <c r="Q16" s="406" t="inlineStr">
        <is>
          <t>Klaviyo E-Commerce Benchmark 2024</t>
        </is>
      </c>
    </row>
    <row r="17" ht="15" customHeight="1">
      <c r="B17" s="314" t="inlineStr">
        <is>
          <t>B2C: Anteil Tools &amp; Shopify</t>
        </is>
      </c>
      <c r="C17" s="314" t="inlineStr">
        <is>
          <t>%</t>
        </is>
      </c>
      <c r="D17" s="314" t="inlineStr">
        <is>
          <t>Shopify, Apps, Analytics</t>
        </is>
      </c>
      <c r="E17" s="329" t="n">
        <v>0.05</v>
      </c>
      <c r="F17" s="329" t="n">
        <v>0.05</v>
      </c>
      <c r="G17" s="329" t="n">
        <v>0.05</v>
      </c>
      <c r="H17" s="329" t="n">
        <v>0.05</v>
      </c>
      <c r="I17" s="329" t="n">
        <v>0.05</v>
      </c>
      <c r="J17" s="329" t="n">
        <v>0.05</v>
      </c>
      <c r="K17" s="329" t="n">
        <v>0.05</v>
      </c>
      <c r="L17" s="329" t="n">
        <v>0.05</v>
      </c>
      <c r="M17" s="329" t="n">
        <v>0.05</v>
      </c>
      <c r="N17" s="329" t="n">
        <v>0.05</v>
      </c>
      <c r="O17" s="314" t="inlineStr">
        <is>
          <t>8-15%</t>
        </is>
      </c>
      <c r="P17" s="373" t="inlineStr">
        <is>
          <t>Standard inkl. Shopify Fees</t>
        </is>
      </c>
      <c r="Q17" s="314" t="inlineStr">
        <is>
          <t>Shopify Partner Ecosystem Report</t>
        </is>
      </c>
    </row>
    <row r="19" ht="15" customHeight="1">
      <c r="B19" s="325" t="inlineStr">
        <is>
          <t>B. UMSATZ-REFERENZEN (aus Umsatz-Sheet)</t>
        </is>
      </c>
      <c r="C19" s="412" t="n"/>
      <c r="D19" s="412" t="n"/>
      <c r="E19" s="412" t="n"/>
      <c r="F19" s="412" t="n"/>
      <c r="G19" s="412" t="n"/>
      <c r="H19" s="412" t="n"/>
      <c r="I19" s="412" t="n"/>
      <c r="J19" s="412" t="n"/>
      <c r="K19" s="412" t="n"/>
      <c r="L19" s="412" t="n"/>
      <c r="M19" s="412" t="n"/>
      <c r="N19" s="412" t="n"/>
      <c r="O19" s="412" t="n"/>
      <c r="P19" s="412" t="n"/>
      <c r="Q19" s="413" t="n"/>
    </row>
    <row r="20" ht="15" customHeight="1">
      <c r="B20" s="334" t="inlineStr">
        <is>
          <t>Position</t>
        </is>
      </c>
      <c r="C20" s="334" t="inlineStr">
        <is>
          <t>Einheit</t>
        </is>
      </c>
      <c r="D20" s="334" t="inlineStr">
        <is>
          <t>Anmerkung</t>
        </is>
      </c>
      <c r="E20" s="334" t="inlineStr">
        <is>
          <t>Jahr 1</t>
        </is>
      </c>
      <c r="F20" s="334" t="inlineStr">
        <is>
          <t>Jahr 2</t>
        </is>
      </c>
      <c r="G20" s="334" t="inlineStr">
        <is>
          <t>Jahr 3</t>
        </is>
      </c>
      <c r="H20" s="334" t="inlineStr">
        <is>
          <t>Jahr 4</t>
        </is>
      </c>
      <c r="I20" s="334" t="inlineStr">
        <is>
          <t>Jahr 5</t>
        </is>
      </c>
      <c r="J20" s="334" t="inlineStr">
        <is>
          <t>Jahr 6</t>
        </is>
      </c>
      <c r="K20" s="334" t="inlineStr">
        <is>
          <t>Jahr 7</t>
        </is>
      </c>
      <c r="L20" s="334" t="inlineStr">
        <is>
          <t>Jahr 8</t>
        </is>
      </c>
      <c r="M20" s="334" t="inlineStr">
        <is>
          <t>Jahr 9</t>
        </is>
      </c>
      <c r="N20" s="334" t="inlineStr">
        <is>
          <t>Jahr 10</t>
        </is>
      </c>
      <c r="O20" s="334" t="inlineStr">
        <is>
          <t>Branchen-Benchmark</t>
        </is>
      </c>
      <c r="P20" s="334" t="inlineStr">
        <is>
          <t>Einordnung PHYOX</t>
        </is>
      </c>
      <c r="Q20" s="334" t="inlineStr">
        <is>
          <t>Quelle / Referenz</t>
        </is>
      </c>
    </row>
    <row r="21" ht="15" customHeight="1">
      <c r="B21" s="314" t="inlineStr">
        <is>
          <t>B2B Bulk Umsatz</t>
        </is>
      </c>
      <c r="C21" s="314" t="inlineStr">
        <is>
          <t>€</t>
        </is>
      </c>
      <c r="E21" s="323">
        <f>Umsatz!E47</f>
        <v/>
      </c>
      <c r="F21" s="323">
        <f>Umsatz!F47</f>
        <v/>
      </c>
      <c r="G21" s="323">
        <f>Umsatz!G47</f>
        <v/>
      </c>
      <c r="H21" s="323">
        <f>Umsatz!H47</f>
        <v/>
      </c>
      <c r="I21" s="323">
        <f>Umsatz!I47</f>
        <v/>
      </c>
      <c r="J21" s="323">
        <f>Umsatz!J47</f>
        <v/>
      </c>
      <c r="K21" s="323">
        <f>Umsatz!K47</f>
        <v/>
      </c>
      <c r="L21" s="323">
        <f>Umsatz!L47</f>
        <v/>
      </c>
      <c r="M21" s="323">
        <f>Umsatz!M47</f>
        <v/>
      </c>
      <c r="N21" s="323">
        <f>Umsatz!N47</f>
        <v/>
      </c>
      <c r="O21" s="269" t="n"/>
      <c r="P21" s="269" t="n"/>
      <c r="Q21" s="270" t="n"/>
    </row>
    <row r="22" ht="15" customHeight="1">
      <c r="B22" s="406" t="inlineStr">
        <is>
          <t>B2B Retail Umsatz</t>
        </is>
      </c>
      <c r="C22" s="406" t="inlineStr">
        <is>
          <t>€</t>
        </is>
      </c>
      <c r="E22" s="410">
        <f>Umsatz!E51</f>
        <v/>
      </c>
      <c r="F22" s="410">
        <f>Umsatz!F51</f>
        <v/>
      </c>
      <c r="G22" s="410">
        <f>Umsatz!G51</f>
        <v/>
      </c>
      <c r="H22" s="410">
        <f>Umsatz!H51</f>
        <v/>
      </c>
      <c r="I22" s="410">
        <f>Umsatz!I51</f>
        <v/>
      </c>
      <c r="J22" s="410">
        <f>Umsatz!J51</f>
        <v/>
      </c>
      <c r="K22" s="410">
        <f>Umsatz!K51</f>
        <v/>
      </c>
      <c r="L22" s="410">
        <f>Umsatz!L51</f>
        <v/>
      </c>
      <c r="M22" s="410">
        <f>Umsatz!M51</f>
        <v/>
      </c>
      <c r="N22" s="410">
        <f>Umsatz!N51</f>
        <v/>
      </c>
      <c r="O22" s="269" t="n"/>
      <c r="P22" s="269" t="n"/>
      <c r="Q22" s="270" t="n"/>
    </row>
    <row r="23" ht="15" customHeight="1">
      <c r="B23" s="335" t="inlineStr">
        <is>
          <t>B2B Umsatz Gesamt</t>
        </is>
      </c>
      <c r="C23" s="335" t="inlineStr">
        <is>
          <t>€</t>
        </is>
      </c>
      <c r="E23" s="402">
        <f>E21+E22</f>
        <v/>
      </c>
      <c r="F23" s="402">
        <f>F21+F22</f>
        <v/>
      </c>
      <c r="G23" s="402">
        <f>G21+G22</f>
        <v/>
      </c>
      <c r="H23" s="402">
        <f>H21+H22</f>
        <v/>
      </c>
      <c r="I23" s="402">
        <f>I21+I22</f>
        <v/>
      </c>
      <c r="J23" s="402">
        <f>J21+J22</f>
        <v/>
      </c>
      <c r="K23" s="402">
        <f>K21+K22</f>
        <v/>
      </c>
      <c r="L23" s="402">
        <f>L21+L22</f>
        <v/>
      </c>
      <c r="M23" s="402">
        <f>M21+M22</f>
        <v/>
      </c>
      <c r="N23" s="402">
        <f>N21+N22</f>
        <v/>
      </c>
      <c r="O23" s="269" t="n"/>
      <c r="P23" s="269" t="n"/>
      <c r="Q23" s="270" t="n"/>
    </row>
    <row r="24" ht="15" customHeight="1">
      <c r="B24" s="406" t="inlineStr">
        <is>
          <t>B2C Umsatz</t>
        </is>
      </c>
      <c r="C24" s="406" t="inlineStr">
        <is>
          <t>€</t>
        </is>
      </c>
      <c r="E24" s="410">
        <f>Umsatz!E55</f>
        <v/>
      </c>
      <c r="F24" s="410">
        <f>Umsatz!F55</f>
        <v/>
      </c>
      <c r="G24" s="410">
        <f>Umsatz!G55</f>
        <v/>
      </c>
      <c r="H24" s="410">
        <f>Umsatz!H55</f>
        <v/>
      </c>
      <c r="I24" s="410">
        <f>Umsatz!I55</f>
        <v/>
      </c>
      <c r="J24" s="410">
        <f>Umsatz!J55</f>
        <v/>
      </c>
      <c r="K24" s="410">
        <f>Umsatz!K55</f>
        <v/>
      </c>
      <c r="L24" s="410">
        <f>Umsatz!L55</f>
        <v/>
      </c>
      <c r="M24" s="410">
        <f>Umsatz!M55</f>
        <v/>
      </c>
      <c r="N24" s="410">
        <f>Umsatz!N55</f>
        <v/>
      </c>
      <c r="O24" s="269" t="n"/>
      <c r="P24" s="269" t="n"/>
      <c r="Q24" s="270" t="n"/>
    </row>
    <row r="25" ht="15" customHeight="1">
      <c r="B25" s="335" t="inlineStr">
        <is>
          <t>GESAMTUMSATZ</t>
        </is>
      </c>
      <c r="C25" s="335" t="inlineStr">
        <is>
          <t>€</t>
        </is>
      </c>
      <c r="E25" s="402">
        <f>Umsatz!E57</f>
        <v/>
      </c>
      <c r="F25" s="402">
        <f>Umsatz!F57</f>
        <v/>
      </c>
      <c r="G25" s="402">
        <f>Umsatz!G57</f>
        <v/>
      </c>
      <c r="H25" s="402">
        <f>Umsatz!H57</f>
        <v/>
      </c>
      <c r="I25" s="402">
        <f>Umsatz!I57</f>
        <v/>
      </c>
      <c r="J25" s="402">
        <f>Umsatz!J57</f>
        <v/>
      </c>
      <c r="K25" s="402">
        <f>Umsatz!K57</f>
        <v/>
      </c>
      <c r="L25" s="402">
        <f>Umsatz!L57</f>
        <v/>
      </c>
      <c r="M25" s="402">
        <f>Umsatz!M57</f>
        <v/>
      </c>
      <c r="N25" s="402">
        <f>Umsatz!N57</f>
        <v/>
      </c>
      <c r="O25" s="269" t="n"/>
      <c r="P25" s="269" t="n"/>
      <c r="Q25" s="270" t="n"/>
    </row>
    <row r="27" ht="15" customHeight="1">
      <c r="B27" s="325" t="inlineStr">
        <is>
          <t>C. B2B MARKETING- &amp; VERTRIEBSKOSTEN</t>
        </is>
      </c>
      <c r="C27" s="412" t="n"/>
      <c r="D27" s="412" t="n"/>
      <c r="E27" s="412" t="n"/>
      <c r="F27" s="412" t="n"/>
      <c r="G27" s="412" t="n"/>
      <c r="H27" s="412" t="n"/>
      <c r="I27" s="412" t="n"/>
      <c r="J27" s="412" t="n"/>
      <c r="K27" s="412" t="n"/>
      <c r="L27" s="412" t="n"/>
      <c r="M27" s="412" t="n"/>
      <c r="N27" s="412" t="n"/>
      <c r="O27" s="412" t="n"/>
      <c r="P27" s="412" t="n"/>
      <c r="Q27" s="413" t="n"/>
    </row>
    <row r="28" ht="15" customHeight="1">
      <c r="B28" s="334" t="inlineStr">
        <is>
          <t>Position</t>
        </is>
      </c>
      <c r="C28" s="334" t="inlineStr">
        <is>
          <t>Einheit</t>
        </is>
      </c>
      <c r="D28" s="334" t="inlineStr">
        <is>
          <t>Anmerkung</t>
        </is>
      </c>
      <c r="E28" s="334" t="inlineStr">
        <is>
          <t>Jahr 1</t>
        </is>
      </c>
      <c r="F28" s="334" t="inlineStr">
        <is>
          <t>Jahr 2</t>
        </is>
      </c>
      <c r="G28" s="334" t="inlineStr">
        <is>
          <t>Jahr 3</t>
        </is>
      </c>
      <c r="H28" s="334" t="inlineStr">
        <is>
          <t>Jahr 4</t>
        </is>
      </c>
      <c r="I28" s="334" t="inlineStr">
        <is>
          <t>Jahr 5</t>
        </is>
      </c>
      <c r="J28" s="334" t="inlineStr">
        <is>
          <t>Jahr 6</t>
        </is>
      </c>
      <c r="K28" s="334" t="inlineStr">
        <is>
          <t>Jahr 7</t>
        </is>
      </c>
      <c r="L28" s="334" t="inlineStr">
        <is>
          <t>Jahr 8</t>
        </is>
      </c>
      <c r="M28" s="334" t="inlineStr">
        <is>
          <t>Jahr 9</t>
        </is>
      </c>
      <c r="N28" s="334" t="inlineStr">
        <is>
          <t>Jahr 10</t>
        </is>
      </c>
      <c r="O28" s="334" t="inlineStr">
        <is>
          <t>Branchen-Benchmark</t>
        </is>
      </c>
      <c r="P28" s="334" t="inlineStr">
        <is>
          <t>Einordnung PHYOX</t>
        </is>
      </c>
      <c r="Q28" s="334" t="inlineStr">
        <is>
          <t>Quelle / Referenz</t>
        </is>
      </c>
    </row>
    <row r="29" ht="27.75" customHeight="1">
      <c r="B29" s="326" t="inlineStr">
        <is>
          <t>B2B Marketing-Budget gesamt</t>
        </is>
      </c>
      <c r="C29" s="326" t="inlineStr">
        <is>
          <t>€</t>
        </is>
      </c>
      <c r="D29" s="326" t="inlineStr">
        <is>
          <t>B2B Umsatz × B2B %</t>
        </is>
      </c>
      <c r="E29" s="327">
        <f>E23*E6</f>
        <v/>
      </c>
      <c r="F29" s="327">
        <f>F23*F6</f>
        <v/>
      </c>
      <c r="G29" s="327">
        <f>G23*G6</f>
        <v/>
      </c>
      <c r="H29" s="327">
        <f>H23*H6</f>
        <v/>
      </c>
      <c r="I29" s="327">
        <f>I23*I6</f>
        <v/>
      </c>
      <c r="J29" s="327">
        <f>J23*J6</f>
        <v/>
      </c>
      <c r="K29" s="327">
        <f>K23*K6</f>
        <v/>
      </c>
      <c r="L29" s="327">
        <f>L23*L6</f>
        <v/>
      </c>
      <c r="M29" s="327">
        <f>M23*M6</f>
        <v/>
      </c>
      <c r="N29" s="327">
        <f>N23*N6</f>
        <v/>
      </c>
      <c r="O29" s="314" t="inlineStr">
        <is>
          <t>3-8% Ingredients
8-15% Branded B2B</t>
        </is>
      </c>
      <c r="P29" s="401" t="inlineStr">
        <is>
          <t>Im Ingredient-Supplier-Korridor (3-8%), branchenüblich</t>
        </is>
      </c>
      <c r="Q29" s="314" t="inlineStr">
        <is>
          <t>ADM 4.3% SGA; Balchem 15.7% SGA (inkl. Admin); Gartner B2B 8.4%</t>
        </is>
      </c>
    </row>
    <row r="30" ht="15" customHeight="1">
      <c r="B30" s="406" t="inlineStr">
        <is>
          <t xml:space="preserve">  Performance Marketing (Google/LinkedIn)</t>
        </is>
      </c>
      <c r="C30" s="406" t="inlineStr">
        <is>
          <t>€</t>
        </is>
      </c>
      <c r="E30" s="410">
        <f>E29*E9</f>
        <v/>
      </c>
      <c r="F30" s="410">
        <f>F29*F9</f>
        <v/>
      </c>
      <c r="G30" s="410">
        <f>G29*G9</f>
        <v/>
      </c>
      <c r="H30" s="410">
        <f>H29*H9</f>
        <v/>
      </c>
      <c r="I30" s="410">
        <f>I29*I9</f>
        <v/>
      </c>
      <c r="J30" s="410">
        <f>J29*J9</f>
        <v/>
      </c>
      <c r="K30" s="410">
        <f>K29*K9</f>
        <v/>
      </c>
      <c r="L30" s="410">
        <f>L29*L9</f>
        <v/>
      </c>
      <c r="M30" s="410">
        <f>M29*M9</f>
        <v/>
      </c>
      <c r="N30" s="410">
        <f>N29*N9</f>
        <v/>
      </c>
      <c r="O30" s="406" t="inlineStr">
        <is>
          <t>€5k-20k/Mo B2B</t>
        </is>
      </c>
      <c r="P30" s="373" t="inlineStr">
        <is>
          <t>Angemessen für Multi-Channel B2B</t>
        </is>
      </c>
      <c r="Q30" s="406" t="inlineStr">
        <is>
          <t>Google Ads B2B Benchmark</t>
        </is>
      </c>
    </row>
    <row r="31" ht="27.75" customHeight="1">
      <c r="B31" s="314" t="inlineStr">
        <is>
          <t xml:space="preserve">  Sales &amp; Outreach (Remote Team, CRM)</t>
        </is>
      </c>
      <c r="C31" s="314" t="inlineStr">
        <is>
          <t>€</t>
        </is>
      </c>
      <c r="E31" s="323">
        <f>E29*E10</f>
        <v/>
      </c>
      <c r="F31" s="323">
        <f>F29*F10</f>
        <v/>
      </c>
      <c r="G31" s="323">
        <f>G29*G10</f>
        <v/>
      </c>
      <c r="H31" s="323">
        <f>H29*H10</f>
        <v/>
      </c>
      <c r="I31" s="323">
        <f>I29*I10</f>
        <v/>
      </c>
      <c r="J31" s="323">
        <f>J29*J10</f>
        <v/>
      </c>
      <c r="K31" s="323">
        <f>K29*K10</f>
        <v/>
      </c>
      <c r="L31" s="323">
        <f>L29*L10</f>
        <v/>
      </c>
      <c r="M31" s="323">
        <f>M29*M10</f>
        <v/>
      </c>
      <c r="N31" s="323">
        <f>N29*N10</f>
        <v/>
      </c>
      <c r="O31" s="314" t="inlineStr">
        <is>
          <t>€15k-50k/Mo</t>
        </is>
      </c>
      <c r="P31" s="373" t="inlineStr">
        <is>
          <t>Remote-Team-Modell sehr kosteneffizient (€600/MA)</t>
        </is>
      </c>
      <c r="Q31" s="314" t="inlineStr">
        <is>
          <t>PHYOX IK-Analyse; Remote-Staffing Benchmarks</t>
        </is>
      </c>
    </row>
    <row r="32" ht="15" customHeight="1">
      <c r="B32" s="406" t="inlineStr">
        <is>
          <t xml:space="preserve">  Content &amp; SEO</t>
        </is>
      </c>
      <c r="C32" s="406" t="inlineStr">
        <is>
          <t>€</t>
        </is>
      </c>
      <c r="E32" s="410">
        <f>E29*E11</f>
        <v/>
      </c>
      <c r="F32" s="410">
        <f>F29*F11</f>
        <v/>
      </c>
      <c r="G32" s="410">
        <f>G29*G11</f>
        <v/>
      </c>
      <c r="H32" s="410">
        <f>H29*H11</f>
        <v/>
      </c>
      <c r="I32" s="410">
        <f>I29*I11</f>
        <v/>
      </c>
      <c r="J32" s="410">
        <f>J29*J11</f>
        <v/>
      </c>
      <c r="K32" s="410">
        <f>K29*K11</f>
        <v/>
      </c>
      <c r="L32" s="410">
        <f>L29*L11</f>
        <v/>
      </c>
      <c r="M32" s="410">
        <f>M29*M11</f>
        <v/>
      </c>
      <c r="N32" s="410">
        <f>N29*N11</f>
        <v/>
      </c>
      <c r="O32" s="406" t="inlineStr">
        <is>
          <t>€5k-15k/Mo</t>
        </is>
      </c>
      <c r="P32" s="373" t="inlineStr">
        <is>
          <t>Marktkonform</t>
        </is>
      </c>
      <c r="Q32" s="406" t="inlineStr">
        <is>
          <t>Content Marketing Institute B2B</t>
        </is>
      </c>
    </row>
    <row r="33" ht="15" customHeight="1">
      <c r="B33" s="314" t="inlineStr">
        <is>
          <t xml:space="preserve">  Tools &amp; Infrastruktur</t>
        </is>
      </c>
      <c r="C33" s="314" t="inlineStr">
        <is>
          <t>€</t>
        </is>
      </c>
      <c r="E33" s="323">
        <f>E29*E12</f>
        <v/>
      </c>
      <c r="F33" s="323">
        <f>F29*F12</f>
        <v/>
      </c>
      <c r="G33" s="323">
        <f>G29*G12</f>
        <v/>
      </c>
      <c r="H33" s="323">
        <f>H29*H12</f>
        <v/>
      </c>
      <c r="I33" s="323">
        <f>I29*I12</f>
        <v/>
      </c>
      <c r="J33" s="323">
        <f>J29*J12</f>
        <v/>
      </c>
      <c r="K33" s="323">
        <f>K29*K12</f>
        <v/>
      </c>
      <c r="L33" s="323">
        <f>L29*L12</f>
        <v/>
      </c>
      <c r="M33" s="323">
        <f>M29*M12</f>
        <v/>
      </c>
      <c r="N33" s="323">
        <f>N29*N12</f>
        <v/>
      </c>
      <c r="O33" s="314" t="inlineStr">
        <is>
          <t>€3k-10k/Mo</t>
        </is>
      </c>
      <c r="P33" s="373" t="inlineStr">
        <is>
          <t>Marktkonform</t>
        </is>
      </c>
      <c r="Q33" s="314" t="inlineStr">
        <is>
          <t>Gartner MarTech Survey</t>
        </is>
      </c>
    </row>
    <row r="34" ht="15" customHeight="1">
      <c r="B34" s="406" t="inlineStr">
        <is>
          <t>Kontrollsumme B2B Splits</t>
        </is>
      </c>
      <c r="C34" s="406" t="inlineStr">
        <is>
          <t>%</t>
        </is>
      </c>
      <c r="E34" s="409">
        <f>E9+E10+E11+E12</f>
        <v/>
      </c>
      <c r="F34" s="409">
        <f>F9+F10+F11+F12</f>
        <v/>
      </c>
      <c r="G34" s="409">
        <f>G9+G10+G11+G12</f>
        <v/>
      </c>
      <c r="H34" s="409">
        <f>H9+H10+H11+H12</f>
        <v/>
      </c>
      <c r="I34" s="409">
        <f>I9+I10+I11+I12</f>
        <v/>
      </c>
      <c r="J34" s="409">
        <f>J9+J10+J11+J12</f>
        <v/>
      </c>
      <c r="K34" s="409">
        <f>K9+K10+K11+K12</f>
        <v/>
      </c>
      <c r="L34" s="409">
        <f>L9+L10+L11+L12</f>
        <v/>
      </c>
      <c r="M34" s="409">
        <f>M9+M10+M11+M12</f>
        <v/>
      </c>
      <c r="N34" s="409">
        <f>N9+N10+N11+N12</f>
        <v/>
      </c>
      <c r="O34" s="406" t="inlineStr">
        <is>
          <t>100%</t>
        </is>
      </c>
      <c r="P34" s="261" t="n"/>
      <c r="Q34" s="263" t="n"/>
    </row>
    <row r="36" ht="15" customHeight="1">
      <c r="B36" s="325" t="inlineStr">
        <is>
          <t>D. B2C MARKETING- &amp; VERTRIEBSKOSTEN (DTC)</t>
        </is>
      </c>
      <c r="C36" s="412" t="n"/>
      <c r="D36" s="412" t="n"/>
      <c r="E36" s="412" t="n"/>
      <c r="F36" s="412" t="n"/>
      <c r="G36" s="412" t="n"/>
      <c r="H36" s="412" t="n"/>
      <c r="I36" s="412" t="n"/>
      <c r="J36" s="412" t="n"/>
      <c r="K36" s="412" t="n"/>
      <c r="L36" s="412" t="n"/>
      <c r="M36" s="412" t="n"/>
      <c r="N36" s="412" t="n"/>
      <c r="O36" s="412" t="n"/>
      <c r="P36" s="412" t="n"/>
      <c r="Q36" s="413" t="n"/>
    </row>
    <row r="37" ht="15" customHeight="1">
      <c r="B37" s="334" t="inlineStr">
        <is>
          <t>Position</t>
        </is>
      </c>
      <c r="C37" s="334" t="inlineStr">
        <is>
          <t>Einheit</t>
        </is>
      </c>
      <c r="D37" s="334" t="inlineStr">
        <is>
          <t>Anmerkung</t>
        </is>
      </c>
      <c r="E37" s="334" t="inlineStr">
        <is>
          <t>Jahr 1</t>
        </is>
      </c>
      <c r="F37" s="334" t="inlineStr">
        <is>
          <t>Jahr 2</t>
        </is>
      </c>
      <c r="G37" s="334" t="inlineStr">
        <is>
          <t>Jahr 3</t>
        </is>
      </c>
      <c r="H37" s="334" t="inlineStr">
        <is>
          <t>Jahr 4</t>
        </is>
      </c>
      <c r="I37" s="334" t="inlineStr">
        <is>
          <t>Jahr 5</t>
        </is>
      </c>
      <c r="J37" s="334" t="inlineStr">
        <is>
          <t>Jahr 6</t>
        </is>
      </c>
      <c r="K37" s="334" t="inlineStr">
        <is>
          <t>Jahr 7</t>
        </is>
      </c>
      <c r="L37" s="334" t="inlineStr">
        <is>
          <t>Jahr 8</t>
        </is>
      </c>
      <c r="M37" s="334" t="inlineStr">
        <is>
          <t>Jahr 9</t>
        </is>
      </c>
      <c r="N37" s="334" t="inlineStr">
        <is>
          <t>Jahr 10</t>
        </is>
      </c>
      <c r="O37" s="334" t="inlineStr">
        <is>
          <t>Branchen-Benchmark</t>
        </is>
      </c>
      <c r="P37" s="334" t="inlineStr">
        <is>
          <t>Einordnung PHYOX</t>
        </is>
      </c>
      <c r="Q37" s="334" t="inlineStr">
        <is>
          <t>Quelle / Referenz</t>
        </is>
      </c>
    </row>
    <row r="38" ht="27.75" customHeight="1">
      <c r="B38" s="326" t="inlineStr">
        <is>
          <t>B2C Marketing-Budget gesamt</t>
        </is>
      </c>
      <c r="C38" s="326" t="inlineStr">
        <is>
          <t>€</t>
        </is>
      </c>
      <c r="D38" s="326" t="inlineStr">
        <is>
          <t>B2C Umsatz × B2C %</t>
        </is>
      </c>
      <c r="E38" s="327">
        <f>E24*E7</f>
        <v/>
      </c>
      <c r="F38" s="327">
        <f>F24*F7</f>
        <v/>
      </c>
      <c r="G38" s="327">
        <f>G24*G7</f>
        <v/>
      </c>
      <c r="H38" s="327">
        <f>H24*H7</f>
        <v/>
      </c>
      <c r="I38" s="327">
        <f>I24*I7</f>
        <v/>
      </c>
      <c r="J38" s="327">
        <f>J24*J7</f>
        <v/>
      </c>
      <c r="K38" s="327">
        <f>K24*K7</f>
        <v/>
      </c>
      <c r="L38" s="327">
        <f>L24*L7</f>
        <v/>
      </c>
      <c r="M38" s="327">
        <f>M24*M7</f>
        <v/>
      </c>
      <c r="N38" s="327">
        <f>N24*N7</f>
        <v/>
      </c>
      <c r="O38" s="406" t="inlineStr">
        <is>
          <t>35-55% (DTC Launch)
25-35% (reifes DTC)</t>
        </is>
      </c>
      <c r="P38" s="373" t="inlineStr">
        <is>
          <t>Im Branchen-Korridor – konsistent mit DTC Health/Wellness Benchmarks</t>
        </is>
      </c>
      <c r="Q38" s="406" t="inlineStr">
        <is>
          <t>Herbalife 39% SGA; DTC Supplement Industry; Sopro 2025</t>
        </is>
      </c>
    </row>
    <row r="39" ht="27.75" customHeight="1">
      <c r="B39" s="314" t="inlineStr">
        <is>
          <t xml:space="preserve">  Performance Marketing (Meta/Google/TikTok)</t>
        </is>
      </c>
      <c r="C39" s="314" t="inlineStr">
        <is>
          <t>€</t>
        </is>
      </c>
      <c r="E39" s="323">
        <f>E38*E13</f>
        <v/>
      </c>
      <c r="F39" s="323">
        <f>F38*F13</f>
        <v/>
      </c>
      <c r="G39" s="323">
        <f>G38*G13</f>
        <v/>
      </c>
      <c r="H39" s="323">
        <f>H38*H13</f>
        <v/>
      </c>
      <c r="I39" s="323">
        <f>I38*I13</f>
        <v/>
      </c>
      <c r="J39" s="323">
        <f>J38*J13</f>
        <v/>
      </c>
      <c r="K39" s="323">
        <f>K38*K13</f>
        <v/>
      </c>
      <c r="L39" s="323">
        <f>L38*L13</f>
        <v/>
      </c>
      <c r="M39" s="323">
        <f>M38*M13</f>
        <v/>
      </c>
      <c r="N39" s="323">
        <f>N38*N13</f>
        <v/>
      </c>
      <c r="O39" s="314" t="inlineStr">
        <is>
          <t>40-60% des Mkt-Budgets</t>
        </is>
      </c>
      <c r="P39" s="373" t="inlineStr">
        <is>
          <t>Standard – Performance Ads Haupttreiber DTC</t>
        </is>
      </c>
      <c r="Q39" s="314" t="inlineStr">
        <is>
          <t>Meta/Google Supplement Ads Benchmarks</t>
        </is>
      </c>
    </row>
    <row r="40" ht="15" customHeight="1">
      <c r="B40" s="406" t="inlineStr">
        <is>
          <t xml:space="preserve">  Influencer &amp; PR</t>
        </is>
      </c>
      <c r="C40" s="406" t="inlineStr">
        <is>
          <t>€</t>
        </is>
      </c>
      <c r="E40" s="410">
        <f>E38*E14</f>
        <v/>
      </c>
      <c r="F40" s="410">
        <f>F38*F14</f>
        <v/>
      </c>
      <c r="G40" s="410">
        <f>G38*G14</f>
        <v/>
      </c>
      <c r="H40" s="410">
        <f>H38*H14</f>
        <v/>
      </c>
      <c r="I40" s="410">
        <f>I38*I14</f>
        <v/>
      </c>
      <c r="J40" s="410">
        <f>J38*J14</f>
        <v/>
      </c>
      <c r="K40" s="410">
        <f>K38*K14</f>
        <v/>
      </c>
      <c r="L40" s="410">
        <f>L38*L14</f>
        <v/>
      </c>
      <c r="M40" s="410">
        <f>M38*M14</f>
        <v/>
      </c>
      <c r="N40" s="410">
        <f>N38*N14</f>
        <v/>
      </c>
      <c r="O40" s="406" t="inlineStr">
        <is>
          <t>10-20% des Budgets</t>
        </is>
      </c>
      <c r="P40" s="373" t="inlineStr">
        <is>
          <t>Marktkonform für Supplement-Branche</t>
        </is>
      </c>
      <c r="Q40" s="406" t="inlineStr">
        <is>
          <t>Influencer Marketing Hub 2024</t>
        </is>
      </c>
    </row>
    <row r="41" ht="15" customHeight="1">
      <c r="B41" s="314" t="inlineStr">
        <is>
          <t xml:space="preserve">  Content &amp; Social Media (Remote Team)</t>
        </is>
      </c>
      <c r="C41" s="314" t="inlineStr">
        <is>
          <t>€</t>
        </is>
      </c>
      <c r="E41" s="323">
        <f>E38*E15</f>
        <v/>
      </c>
      <c r="F41" s="323">
        <f>F38*F15</f>
        <v/>
      </c>
      <c r="G41" s="323">
        <f>G38*G15</f>
        <v/>
      </c>
      <c r="H41" s="323">
        <f>H38*H15</f>
        <v/>
      </c>
      <c r="I41" s="323">
        <f>I38*I15</f>
        <v/>
      </c>
      <c r="J41" s="323">
        <f>J38*J15</f>
        <v/>
      </c>
      <c r="K41" s="323">
        <f>K38*K15</f>
        <v/>
      </c>
      <c r="L41" s="323">
        <f>L38*L15</f>
        <v/>
      </c>
      <c r="M41" s="323">
        <f>M38*M15</f>
        <v/>
      </c>
      <c r="N41" s="323">
        <f>N38*N15</f>
        <v/>
      </c>
      <c r="O41" s="314" t="inlineStr">
        <is>
          <t>15-25% des Budgets</t>
        </is>
      </c>
      <c r="P41" s="373" t="inlineStr">
        <is>
          <t>Remote-Team senkt Kosten vs. Agentur</t>
        </is>
      </c>
      <c r="Q41" s="314" t="inlineStr">
        <is>
          <t>Social Media Industry Report</t>
        </is>
      </c>
    </row>
    <row r="42" ht="15" customHeight="1">
      <c r="B42" s="406" t="inlineStr">
        <is>
          <t xml:space="preserve">  E-Mail &amp; Retention</t>
        </is>
      </c>
      <c r="C42" s="406" t="inlineStr">
        <is>
          <t>€</t>
        </is>
      </c>
      <c r="E42" s="410">
        <f>E38*E16</f>
        <v/>
      </c>
      <c r="F42" s="410">
        <f>F38*F16</f>
        <v/>
      </c>
      <c r="G42" s="410">
        <f>G38*G16</f>
        <v/>
      </c>
      <c r="H42" s="410">
        <f>H38*H16</f>
        <v/>
      </c>
      <c r="I42" s="410">
        <f>I38*I16</f>
        <v/>
      </c>
      <c r="J42" s="410">
        <f>J38*J16</f>
        <v/>
      </c>
      <c r="K42" s="410">
        <f>K38*K16</f>
        <v/>
      </c>
      <c r="L42" s="410">
        <f>L38*L16</f>
        <v/>
      </c>
      <c r="M42" s="410">
        <f>M38*M16</f>
        <v/>
      </c>
      <c r="N42" s="410">
        <f>N38*N16</f>
        <v/>
      </c>
      <c r="O42" s="406" t="inlineStr">
        <is>
          <t>3-8% des Budgets</t>
        </is>
      </c>
      <c r="P42" s="373" t="inlineStr">
        <is>
          <t>Standard</t>
        </is>
      </c>
      <c r="Q42" s="406" t="inlineStr">
        <is>
          <t>Klaviyo/Mailchimp Benchmarks</t>
        </is>
      </c>
    </row>
    <row r="43" ht="15" customHeight="1">
      <c r="B43" s="314" t="inlineStr">
        <is>
          <t xml:space="preserve">  Tools &amp; Shopify</t>
        </is>
      </c>
      <c r="C43" s="314" t="inlineStr">
        <is>
          <t>€</t>
        </is>
      </c>
      <c r="E43" s="323">
        <f>E38*E17</f>
        <v/>
      </c>
      <c r="F43" s="323">
        <f>F38*F17</f>
        <v/>
      </c>
      <c r="G43" s="323">
        <f>G38*G17</f>
        <v/>
      </c>
      <c r="H43" s="323">
        <f>H38*H17</f>
        <v/>
      </c>
      <c r="I43" s="323">
        <f>I38*I17</f>
        <v/>
      </c>
      <c r="J43" s="323">
        <f>J38*J17</f>
        <v/>
      </c>
      <c r="K43" s="323">
        <f>K38*K17</f>
        <v/>
      </c>
      <c r="L43" s="323">
        <f>L38*L17</f>
        <v/>
      </c>
      <c r="M43" s="323">
        <f>M38*M17</f>
        <v/>
      </c>
      <c r="N43" s="323">
        <f>N38*N17</f>
        <v/>
      </c>
      <c r="O43" s="314" t="inlineStr">
        <is>
          <t>8-15% des Budgets</t>
        </is>
      </c>
      <c r="P43" s="373" t="inlineStr">
        <is>
          <t>Standard inkl. Shopify Plus</t>
        </is>
      </c>
      <c r="Q43" s="314" t="inlineStr">
        <is>
          <t>Shopify Ecosystem Report</t>
        </is>
      </c>
    </row>
    <row r="44" ht="15" customHeight="1">
      <c r="B44" s="406" t="inlineStr">
        <is>
          <t>Kontrollsumme B2C Splits</t>
        </is>
      </c>
      <c r="C44" s="406" t="inlineStr">
        <is>
          <t>%</t>
        </is>
      </c>
      <c r="E44" s="409">
        <f>E13+E14+E15+E16+E17</f>
        <v/>
      </c>
      <c r="F44" s="409">
        <f>F13+F14+F15+F16+F17</f>
        <v/>
      </c>
      <c r="G44" s="409">
        <f>G13+G14+G15+G16+G17</f>
        <v/>
      </c>
      <c r="H44" s="409">
        <f>H13+H14+H15+H16+H17</f>
        <v/>
      </c>
      <c r="I44" s="409">
        <f>I13+I14+I15+I16+I17</f>
        <v/>
      </c>
      <c r="J44" s="409">
        <f>J13+J14+J15+J16+J17</f>
        <v/>
      </c>
      <c r="K44" s="409">
        <f>K13+K14+K15+K16+K17</f>
        <v/>
      </c>
      <c r="L44" s="409">
        <f>L13+L14+L15+L16+L17</f>
        <v/>
      </c>
      <c r="M44" s="409">
        <f>M13+M14+M15+M16+M17</f>
        <v/>
      </c>
      <c r="N44" s="409">
        <f>N13+N14+N15+N16+N17</f>
        <v/>
      </c>
      <c r="O44" s="406" t="inlineStr">
        <is>
          <t>100%</t>
        </is>
      </c>
      <c r="P44" s="261" t="n"/>
      <c r="Q44" s="263" t="n"/>
    </row>
    <row r="46" ht="15" customHeight="1">
      <c r="B46" s="325" t="inlineStr">
        <is>
          <t>E. GESAMTÜBERSICHT MARKETING &amp; VERTRIEB</t>
        </is>
      </c>
      <c r="C46" s="412" t="n"/>
      <c r="D46" s="412" t="n"/>
      <c r="E46" s="412" t="n"/>
      <c r="F46" s="412" t="n"/>
      <c r="G46" s="412" t="n"/>
      <c r="H46" s="412" t="n"/>
      <c r="I46" s="412" t="n"/>
      <c r="J46" s="412" t="n"/>
      <c r="K46" s="412" t="n"/>
      <c r="L46" s="412" t="n"/>
      <c r="M46" s="412" t="n"/>
      <c r="N46" s="412" t="n"/>
      <c r="O46" s="412" t="n"/>
      <c r="P46" s="412" t="n"/>
      <c r="Q46" s="413" t="n"/>
    </row>
    <row r="47" ht="15" customHeight="1">
      <c r="B47" s="334" t="inlineStr">
        <is>
          <t>Position</t>
        </is>
      </c>
      <c r="C47" s="334" t="inlineStr">
        <is>
          <t>Einheit</t>
        </is>
      </c>
      <c r="D47" s="334" t="inlineStr">
        <is>
          <t>Anmerkung</t>
        </is>
      </c>
      <c r="E47" s="334" t="inlineStr">
        <is>
          <t>Jahr 1</t>
        </is>
      </c>
      <c r="F47" s="334" t="inlineStr">
        <is>
          <t>Jahr 2</t>
        </is>
      </c>
      <c r="G47" s="334" t="inlineStr">
        <is>
          <t>Jahr 3</t>
        </is>
      </c>
      <c r="H47" s="334" t="inlineStr">
        <is>
          <t>Jahr 4</t>
        </is>
      </c>
      <c r="I47" s="334" t="inlineStr">
        <is>
          <t>Jahr 5</t>
        </is>
      </c>
      <c r="J47" s="334" t="inlineStr">
        <is>
          <t>Jahr 6</t>
        </is>
      </c>
      <c r="K47" s="334" t="inlineStr">
        <is>
          <t>Jahr 7</t>
        </is>
      </c>
      <c r="L47" s="334" t="inlineStr">
        <is>
          <t>Jahr 8</t>
        </is>
      </c>
      <c r="M47" s="334" t="inlineStr">
        <is>
          <t>Jahr 9</t>
        </is>
      </c>
      <c r="N47" s="334" t="inlineStr">
        <is>
          <t>Jahr 10</t>
        </is>
      </c>
      <c r="O47" s="334" t="inlineStr">
        <is>
          <t>Branchen-Benchmark</t>
        </is>
      </c>
      <c r="P47" s="334" t="inlineStr">
        <is>
          <t>Einordnung PHYOX</t>
        </is>
      </c>
      <c r="Q47" s="334" t="inlineStr">
        <is>
          <t>Quelle / Referenz</t>
        </is>
      </c>
    </row>
    <row r="48" ht="15" customHeight="1">
      <c r="B48" s="406" t="inlineStr">
        <is>
          <t>B2B Marketing-Kosten</t>
        </is>
      </c>
      <c r="C48" s="406" t="inlineStr">
        <is>
          <t>€</t>
        </is>
      </c>
      <c r="E48" s="410">
        <f>E29</f>
        <v/>
      </c>
      <c r="F48" s="410">
        <f>F29</f>
        <v/>
      </c>
      <c r="G48" s="410">
        <f>G29</f>
        <v/>
      </c>
      <c r="H48" s="410">
        <f>H29</f>
        <v/>
      </c>
      <c r="I48" s="410">
        <f>I29</f>
        <v/>
      </c>
      <c r="J48" s="410">
        <f>J29</f>
        <v/>
      </c>
      <c r="K48" s="410">
        <f>K29</f>
        <v/>
      </c>
      <c r="L48" s="410">
        <f>L29</f>
        <v/>
      </c>
      <c r="M48" s="410">
        <f>M29</f>
        <v/>
      </c>
      <c r="N48" s="410">
        <f>N29</f>
        <v/>
      </c>
      <c r="O48" s="406" t="inlineStr">
        <is>
          <t>3-15% (B2B je nach Typ)</t>
        </is>
      </c>
      <c r="P48" s="401" t="inlineStr">
        <is>
          <t>Im Branded B2B Bereich</t>
        </is>
      </c>
      <c r="Q48" s="406" t="inlineStr">
        <is>
          <t>Siehe Sektion C</t>
        </is>
      </c>
    </row>
    <row r="49" ht="15" customHeight="1">
      <c r="B49" s="314" t="inlineStr">
        <is>
          <t>B2C Marketing-Kosten</t>
        </is>
      </c>
      <c r="C49" s="314" t="inlineStr">
        <is>
          <t>€</t>
        </is>
      </c>
      <c r="E49" s="323">
        <f>E38</f>
        <v/>
      </c>
      <c r="F49" s="323">
        <f>F38</f>
        <v/>
      </c>
      <c r="G49" s="323">
        <f>G38</f>
        <v/>
      </c>
      <c r="H49" s="323">
        <f>H38</f>
        <v/>
      </c>
      <c r="I49" s="323">
        <f>I38</f>
        <v/>
      </c>
      <c r="J49" s="323">
        <f>J38</f>
        <v/>
      </c>
      <c r="K49" s="323">
        <f>K38</f>
        <v/>
      </c>
      <c r="L49" s="323">
        <f>L38</f>
        <v/>
      </c>
      <c r="M49" s="323">
        <f>M38</f>
        <v/>
      </c>
      <c r="N49" s="323">
        <f>N38</f>
        <v/>
      </c>
      <c r="O49" s="314" t="inlineStr">
        <is>
          <t>35-55% (DTC)</t>
        </is>
      </c>
      <c r="P49" s="373" t="inlineStr">
        <is>
          <t>Branchenkonform</t>
        </is>
      </c>
      <c r="Q49" s="314" t="inlineStr">
        <is>
          <t>Siehe Sektion D</t>
        </is>
      </c>
    </row>
    <row r="50" ht="15" customHeight="1">
      <c r="B50" s="406" t="inlineStr">
        <is>
          <t>Setup-Kosten</t>
        </is>
      </c>
      <c r="C50" s="406" t="inlineStr">
        <is>
          <t>€</t>
        </is>
      </c>
      <c r="E50" s="410">
        <f>E8</f>
        <v/>
      </c>
      <c r="F50" s="410">
        <f>F8</f>
        <v/>
      </c>
      <c r="G50" s="410">
        <f>G8</f>
        <v/>
      </c>
      <c r="H50" s="410">
        <f>H8</f>
        <v/>
      </c>
      <c r="I50" s="410">
        <f>I8</f>
        <v/>
      </c>
      <c r="J50" s="410">
        <f>J8</f>
        <v/>
      </c>
      <c r="K50" s="410">
        <f>K8</f>
        <v/>
      </c>
      <c r="L50" s="410">
        <f>L8</f>
        <v/>
      </c>
      <c r="M50" s="410">
        <f>M8</f>
        <v/>
      </c>
      <c r="N50" s="410">
        <f>N8</f>
        <v/>
      </c>
      <c r="O50" s="261" t="n"/>
      <c r="P50" s="261" t="n"/>
      <c r="Q50" s="263" t="n"/>
    </row>
    <row r="51" ht="27.75" customHeight="1">
      <c r="B51" s="326" t="inlineStr">
        <is>
          <t>MARKETING-KOSTEN GESAMT</t>
        </is>
      </c>
      <c r="C51" s="326" t="inlineStr">
        <is>
          <t>€</t>
        </is>
      </c>
      <c r="D51" s="282" t="n"/>
      <c r="E51" s="327">
        <f>E48+E49+E50</f>
        <v/>
      </c>
      <c r="F51" s="327">
        <f>F48+F49+F50</f>
        <v/>
      </c>
      <c r="G51" s="327">
        <f>G48+G49+G50</f>
        <v/>
      </c>
      <c r="H51" s="327">
        <f>H48+H49+H50</f>
        <v/>
      </c>
      <c r="I51" s="327">
        <f>I48+I49+I50</f>
        <v/>
      </c>
      <c r="J51" s="327">
        <f>J48+J49+J50</f>
        <v/>
      </c>
      <c r="K51" s="327">
        <f>K48+K49+K50</f>
        <v/>
      </c>
      <c r="L51" s="327">
        <f>L48+L49+L50</f>
        <v/>
      </c>
      <c r="M51" s="327">
        <f>M48+M49+M50</f>
        <v/>
      </c>
      <c r="N51" s="327">
        <f>N48+N49+N50</f>
        <v/>
      </c>
      <c r="O51" s="326" t="inlineStr">
        <is>
          <t>15-25% (Hybrid B2B+DTC)</t>
        </is>
      </c>
      <c r="P51" s="401" t="inlineStr">
        <is>
          <t>J1: 22% = oberer Bereich
J10: 15% = Branchen-Zielkorridor</t>
        </is>
      </c>
      <c r="Q51" s="326" t="inlineStr">
        <is>
          <t>Gewichteter Mix aus B2B (64%) + B2C (36%) Benchmarks</t>
        </is>
      </c>
    </row>
    <row r="53" ht="15" customHeight="1">
      <c r="B53" s="325" t="inlineStr">
        <is>
          <t>F. MARKETING-KPIs</t>
        </is>
      </c>
      <c r="C53" s="412" t="n"/>
      <c r="D53" s="412" t="n"/>
      <c r="E53" s="412" t="n"/>
      <c r="F53" s="412" t="n"/>
      <c r="G53" s="412" t="n"/>
      <c r="H53" s="412" t="n"/>
      <c r="I53" s="412" t="n"/>
      <c r="J53" s="412" t="n"/>
      <c r="K53" s="412" t="n"/>
      <c r="L53" s="412" t="n"/>
      <c r="M53" s="412" t="n"/>
      <c r="N53" s="412" t="n"/>
      <c r="O53" s="412" t="n"/>
      <c r="P53" s="412" t="n"/>
      <c r="Q53" s="413" t="n"/>
    </row>
    <row r="54" ht="15" customHeight="1">
      <c r="B54" s="334" t="inlineStr">
        <is>
          <t>Position</t>
        </is>
      </c>
      <c r="C54" s="334" t="inlineStr">
        <is>
          <t>Einheit</t>
        </is>
      </c>
      <c r="D54" s="334" t="inlineStr">
        <is>
          <t>Anmerkung</t>
        </is>
      </c>
      <c r="E54" s="334" t="inlineStr">
        <is>
          <t>Jahr 1</t>
        </is>
      </c>
      <c r="F54" s="334" t="inlineStr">
        <is>
          <t>Jahr 2</t>
        </is>
      </c>
      <c r="G54" s="334" t="inlineStr">
        <is>
          <t>Jahr 3</t>
        </is>
      </c>
      <c r="H54" s="334" t="inlineStr">
        <is>
          <t>Jahr 4</t>
        </is>
      </c>
      <c r="I54" s="334" t="inlineStr">
        <is>
          <t>Jahr 5</t>
        </is>
      </c>
      <c r="J54" s="334" t="inlineStr">
        <is>
          <t>Jahr 6</t>
        </is>
      </c>
      <c r="K54" s="334" t="inlineStr">
        <is>
          <t>Jahr 7</t>
        </is>
      </c>
      <c r="L54" s="334" t="inlineStr">
        <is>
          <t>Jahr 8</t>
        </is>
      </c>
      <c r="M54" s="334" t="inlineStr">
        <is>
          <t>Jahr 9</t>
        </is>
      </c>
      <c r="N54" s="334" t="inlineStr">
        <is>
          <t>Jahr 10</t>
        </is>
      </c>
      <c r="O54" s="334" t="inlineStr">
        <is>
          <t>Branchen-Benchmark</t>
        </is>
      </c>
      <c r="P54" s="334" t="inlineStr">
        <is>
          <t>Einordnung PHYOX</t>
        </is>
      </c>
      <c r="Q54" s="334" t="inlineStr">
        <is>
          <t>Quelle / Referenz</t>
        </is>
      </c>
    </row>
    <row r="55" ht="27.75" customHeight="1">
      <c r="B55" s="314" t="inlineStr">
        <is>
          <t>Marketing % vom Gesamtumsatz</t>
        </is>
      </c>
      <c r="C55" s="314" t="inlineStr">
        <is>
          <t>%</t>
        </is>
      </c>
      <c r="E55" s="318">
        <f>IF(E25=0,0,E51/E25)</f>
        <v/>
      </c>
      <c r="F55" s="318">
        <f>IF(F25=0,0,F51/F25)</f>
        <v/>
      </c>
      <c r="G55" s="318">
        <f>IF(G25=0,0,G51/G25)</f>
        <v/>
      </c>
      <c r="H55" s="318">
        <f>IF(H25=0,0,H51/H25)</f>
        <v/>
      </c>
      <c r="I55" s="318">
        <f>IF(I25=0,0,I51/I25)</f>
        <v/>
      </c>
      <c r="J55" s="318">
        <f>IF(J25=0,0,J51/J25)</f>
        <v/>
      </c>
      <c r="K55" s="318">
        <f>IF(K25=0,0,K51/K25)</f>
        <v/>
      </c>
      <c r="L55" s="318">
        <f>IF(L25=0,0,L51/L25)</f>
        <v/>
      </c>
      <c r="M55" s="318">
        <f>IF(M25=0,0,M51/M25)</f>
        <v/>
      </c>
      <c r="N55" s="318">
        <f>IF(N25=0,0,N51/N25)</f>
        <v/>
      </c>
      <c r="O55" s="314" t="inlineStr">
        <is>
          <t>15-22% (Hybrid-Modell)</t>
        </is>
      </c>
      <c r="P55" s="373" t="inlineStr">
        <is>
          <t>Unter Durchschnitt: ~16% (J1) → ~11% (J10) durch KI-Effizienz</t>
        </is>
      </c>
      <c r="Q55" s="314" t="inlineStr">
        <is>
          <t>Gartner 2024; Forrester 2025; Branchenmix</t>
        </is>
      </c>
    </row>
    <row r="56" ht="27.75" customHeight="1">
      <c r="B56" s="406" t="inlineStr">
        <is>
          <t>B2B Marketing % (tatsächlich)</t>
        </is>
      </c>
      <c r="C56" s="406" t="inlineStr">
        <is>
          <t>%</t>
        </is>
      </c>
      <c r="E56" s="409">
        <f>IF(E23=0,0,E48/E23)</f>
        <v/>
      </c>
      <c r="F56" s="409">
        <f>IF(F23=0,0,F48/F23)</f>
        <v/>
      </c>
      <c r="G56" s="409">
        <f>IF(G23=0,0,G48/G23)</f>
        <v/>
      </c>
      <c r="H56" s="409">
        <f>IF(H23=0,0,H48/H23)</f>
        <v/>
      </c>
      <c r="I56" s="409">
        <f>IF(I23=0,0,I48/I23)</f>
        <v/>
      </c>
      <c r="J56" s="409">
        <f>IF(J23=0,0,J48/J23)</f>
        <v/>
      </c>
      <c r="K56" s="409">
        <f>IF(K23=0,0,K48/K23)</f>
        <v/>
      </c>
      <c r="L56" s="409">
        <f>IF(L23=0,0,L48/L23)</f>
        <v/>
      </c>
      <c r="M56" s="409">
        <f>IF(M23=0,0,M48/M23)</f>
        <v/>
      </c>
      <c r="N56" s="409">
        <f>IF(N23=0,0,N48/N23)</f>
        <v/>
      </c>
      <c r="O56" s="406" t="inlineStr">
        <is>
          <t>8-15% (Branded B2B)</t>
        </is>
      </c>
      <c r="P56" s="373" t="inlineStr">
        <is>
          <t>12% → 8%: Rückgang zeigt Skaleneffekte und Kundenbindung</t>
        </is>
      </c>
      <c r="Q56" s="406" t="inlineStr">
        <is>
          <t>Gartner B2B 8.4%; Balchem 15.7% SGA</t>
        </is>
      </c>
    </row>
    <row r="57" ht="27.75" customHeight="1">
      <c r="B57" s="314" t="inlineStr">
        <is>
          <t>B2C Marketing % (tatsächlich)</t>
        </is>
      </c>
      <c r="C57" s="314" t="inlineStr">
        <is>
          <t>%</t>
        </is>
      </c>
      <c r="E57" s="318">
        <f>IF(E24=0,0,E49/E24)</f>
        <v/>
      </c>
      <c r="F57" s="318">
        <f>IF(F24=0,0,F49/F24)</f>
        <v/>
      </c>
      <c r="G57" s="318">
        <f>IF(G24=0,0,G49/G24)</f>
        <v/>
      </c>
      <c r="H57" s="318">
        <f>IF(H24=0,0,H49/H24)</f>
        <v/>
      </c>
      <c r="I57" s="318">
        <f>IF(I24=0,0,I49/I24)</f>
        <v/>
      </c>
      <c r="J57" s="318">
        <f>IF(J24=0,0,J49/J24)</f>
        <v/>
      </c>
      <c r="K57" s="318">
        <f>IF(K24=0,0,K49/K24)</f>
        <v/>
      </c>
      <c r="L57" s="318">
        <f>IF(L24=0,0,L49/L24)</f>
        <v/>
      </c>
      <c r="M57" s="318">
        <f>IF(M24=0,0,M49/M24)</f>
        <v/>
      </c>
      <c r="N57" s="318">
        <f>IF(N24=0,0,N49/N24)</f>
        <v/>
      </c>
      <c r="O57" s="314" t="inlineStr">
        <is>
          <t>35-55% (DTC Launch → reif)</t>
        </is>
      </c>
      <c r="P57" s="373" t="inlineStr">
        <is>
          <t>40% → 27%: Klassische DTC-Reifekurve, branchenkonform</t>
        </is>
      </c>
      <c r="Q57" s="314" t="inlineStr">
        <is>
          <t>Herbalife 39%; DTC Health Benchmarks</t>
        </is>
      </c>
    </row>
    <row r="58" ht="15" customHeight="1">
      <c r="B58" s="406" t="inlineStr">
        <is>
          <t>Marketing-Kosten pro Monat</t>
        </is>
      </c>
      <c r="C58" s="406" t="inlineStr">
        <is>
          <t>€/Mo</t>
        </is>
      </c>
      <c r="E58" s="410">
        <f>E51/12</f>
        <v/>
      </c>
      <c r="F58" s="410">
        <f>F51/12</f>
        <v/>
      </c>
      <c r="G58" s="410">
        <f>G51/12</f>
        <v/>
      </c>
      <c r="H58" s="410">
        <f>H51/12</f>
        <v/>
      </c>
      <c r="I58" s="410">
        <f>I51/12</f>
        <v/>
      </c>
      <c r="J58" s="410">
        <f>J51/12</f>
        <v/>
      </c>
      <c r="K58" s="410">
        <f>K51/12</f>
        <v/>
      </c>
      <c r="L58" s="410">
        <f>L51/12</f>
        <v/>
      </c>
      <c r="M58" s="410">
        <f>M51/12</f>
        <v/>
      </c>
      <c r="N58" s="410">
        <f>N51/12</f>
        <v/>
      </c>
      <c r="O58" s="261" t="n"/>
      <c r="P58" s="261" t="n"/>
      <c r="Q58" s="263" t="n"/>
    </row>
    <row r="59" ht="27.75" customHeight="1">
      <c r="B59" s="314" t="inlineStr">
        <is>
          <t>YoY Wachstum Marketing-Kosten</t>
        </is>
      </c>
      <c r="C59" s="314" t="inlineStr">
        <is>
          <t>%</t>
        </is>
      </c>
      <c r="E59" s="314" t="inlineStr">
        <is>
          <t>-</t>
        </is>
      </c>
      <c r="F59" s="318">
        <f>IF(E51=0,0,(F51-E51)/E51)</f>
        <v/>
      </c>
      <c r="G59" s="318">
        <f>IF(F51=0,0,(G51-F51)/F51)</f>
        <v/>
      </c>
      <c r="H59" s="318">
        <f>IF(G51=0,0,(H51-G51)/G51)</f>
        <v/>
      </c>
      <c r="I59" s="318">
        <f>IF(H51=0,0,(I51-H51)/H51)</f>
        <v/>
      </c>
      <c r="J59" s="318">
        <f>IF(I51=0,0,(J51-I51)/I51)</f>
        <v/>
      </c>
      <c r="K59" s="318">
        <f>IF(J51=0,0,(K51-J51)/J51)</f>
        <v/>
      </c>
      <c r="L59" s="318">
        <f>IF(K51=0,0,(L51-K51)/K51)</f>
        <v/>
      </c>
      <c r="M59" s="318">
        <f>IF(L51=0,0,(M51-L51)/L51)</f>
        <v/>
      </c>
      <c r="N59" s="318">
        <f>IF(M51=0,0,(N51-M51)/M51)</f>
        <v/>
      </c>
      <c r="O59" s="314" t="inlineStr">
        <is>
          <t>5-15% YoY (Wachstumsphase)</t>
        </is>
      </c>
      <c r="P59" s="373" t="inlineStr">
        <is>
          <t>8% → 6% YoY: Konservatives Wachstum, gesunde Kostendisziplin</t>
        </is>
      </c>
      <c r="Q59" s="314" t="inlineStr">
        <is>
          <t>SaaS/DTC Growth Benchmarks</t>
        </is>
      </c>
    </row>
    <row r="60" ht="27.75" customHeight="1">
      <c r="B60" s="406" t="inlineStr">
        <is>
          <t>Implied ROAS (Umsatz/Marketing)</t>
        </is>
      </c>
      <c r="C60" s="406" t="inlineStr">
        <is>
          <t>x</t>
        </is>
      </c>
      <c r="E60" s="408">
        <f>IF(E51=0,0,E25/E51)</f>
        <v/>
      </c>
      <c r="F60" s="408">
        <f>IF(F51=0,0,F25/F51)</f>
        <v/>
      </c>
      <c r="G60" s="408">
        <f>IF(G51=0,0,G25/G51)</f>
        <v/>
      </c>
      <c r="H60" s="408">
        <f>IF(H51=0,0,H25/H51)</f>
        <v/>
      </c>
      <c r="I60" s="408">
        <f>IF(I51=0,0,I25/I51)</f>
        <v/>
      </c>
      <c r="J60" s="408">
        <f>IF(J51=0,0,J25/J51)</f>
        <v/>
      </c>
      <c r="K60" s="408">
        <f>IF(K51=0,0,K25/K51)</f>
        <v/>
      </c>
      <c r="L60" s="408">
        <f>IF(L51=0,0,L25/L51)</f>
        <v/>
      </c>
      <c r="M60" s="408">
        <f>IF(M51=0,0,M25/M51)</f>
        <v/>
      </c>
      <c r="N60" s="408">
        <f>IF(N51=0,0,N25/N51)</f>
        <v/>
      </c>
      <c r="O60" s="406" t="inlineStr">
        <is>
          <t>3-6x (Blend B2B+DTC)</t>
        </is>
      </c>
      <c r="P60" s="373" t="inlineStr">
        <is>
          <t>4.5x → 6.7x: Steigend = zunehmende Effizienz, branchenkonform</t>
        </is>
      </c>
      <c r="Q60" s="406" t="inlineStr">
        <is>
          <t>Performance Marketing Benchmarks; ROAS Industry Data</t>
        </is>
      </c>
    </row>
    <row r="62" ht="15" customHeight="1">
      <c r="B62" s="406" t="inlineStr">
        <is>
          <t>HINWEISE:</t>
        </is>
      </c>
      <c r="C62" s="412" t="n"/>
      <c r="D62" s="412" t="n"/>
      <c r="E62" s="412" t="n"/>
      <c r="F62" s="412" t="n"/>
      <c r="G62" s="412" t="n"/>
      <c r="H62" s="412" t="n"/>
      <c r="I62" s="412" t="n"/>
      <c r="J62" s="412" t="n"/>
      <c r="K62" s="412" t="n"/>
      <c r="L62" s="412" t="n"/>
      <c r="M62" s="412" t="n"/>
      <c r="N62" s="412" t="n"/>
      <c r="O62" s="412" t="n"/>
      <c r="P62" s="412" t="n"/>
      <c r="Q62" s="413" t="n"/>
    </row>
    <row r="63" ht="15" customHeight="1">
      <c r="B63" s="314" t="inlineStr">
        <is>
          <t>• Blaue Zellen = Eingabewerte (anpassbar) | Schwarze Zellen = Formeln | Grüne Zellen = Referenzen aus Umsatz-Sheet</t>
        </is>
      </c>
      <c r="C63" s="412" t="n"/>
      <c r="D63" s="412" t="n"/>
      <c r="E63" s="412" t="n"/>
      <c r="F63" s="412" t="n"/>
      <c r="G63" s="412" t="n"/>
      <c r="H63" s="412" t="n"/>
      <c r="I63" s="412" t="n"/>
      <c r="J63" s="412" t="n"/>
      <c r="K63" s="412" t="n"/>
      <c r="L63" s="412" t="n"/>
      <c r="M63" s="412" t="n"/>
      <c r="N63" s="412" t="n"/>
      <c r="O63" s="412" t="n"/>
      <c r="P63" s="412" t="n"/>
      <c r="Q63" s="413" t="n"/>
    </row>
    <row r="64" ht="15" customHeight="1">
      <c r="B64" s="406" t="inlineStr">
        <is>
          <t>• B2B Benchmark: 8-15% vom Umsatz | B2C DTC: 35-55% (sinkend mit Markenbekanntheit)</t>
        </is>
      </c>
      <c r="C64" s="412" t="n"/>
      <c r="D64" s="412" t="n"/>
      <c r="E64" s="412" t="n"/>
      <c r="F64" s="412" t="n"/>
      <c r="G64" s="412" t="n"/>
      <c r="H64" s="412" t="n"/>
      <c r="I64" s="412" t="n"/>
      <c r="J64" s="412" t="n"/>
      <c r="K64" s="412" t="n"/>
      <c r="L64" s="412" t="n"/>
      <c r="M64" s="412" t="n"/>
      <c r="N64" s="412" t="n"/>
      <c r="O64" s="412" t="n"/>
      <c r="P64" s="412" t="n"/>
      <c r="Q64" s="413" t="n"/>
    </row>
    <row r="65" ht="15" customHeight="1">
      <c r="B65" s="314" t="inlineStr">
        <is>
          <t>• Quellen: PHYOX Marketing IK-Analyse V2, Vertriebs-Marketingkosten Analyse, GTM-Strategie Modul 05</t>
        </is>
      </c>
      <c r="C65" s="412" t="n"/>
      <c r="D65" s="412" t="n"/>
      <c r="E65" s="412" t="n"/>
      <c r="F65" s="412" t="n"/>
      <c r="G65" s="412" t="n"/>
      <c r="H65" s="412" t="n"/>
      <c r="I65" s="412" t="n"/>
      <c r="J65" s="412" t="n"/>
      <c r="K65" s="412" t="n"/>
      <c r="L65" s="412" t="n"/>
      <c r="M65" s="412" t="n"/>
      <c r="N65" s="412" t="n"/>
      <c r="O65" s="412" t="n"/>
      <c r="P65" s="412" t="n"/>
      <c r="Q65" s="413" t="n"/>
    </row>
    <row r="66" ht="15" customHeight="1">
      <c r="B66" s="406" t="inlineStr">
        <is>
          <t>• Remote Team: €600/MA/Monat (Kroatien) | Performance Marketing: ROAS-Ziel 3.5-7.0x</t>
        </is>
      </c>
      <c r="C66" s="412" t="n"/>
      <c r="D66" s="412" t="n"/>
      <c r="E66" s="412" t="n"/>
      <c r="F66" s="412" t="n"/>
      <c r="G66" s="412" t="n"/>
      <c r="H66" s="412" t="n"/>
      <c r="I66" s="412" t="n"/>
      <c r="J66" s="412" t="n"/>
      <c r="K66" s="412" t="n"/>
      <c r="L66" s="412" t="n"/>
      <c r="M66" s="412" t="n"/>
      <c r="N66" s="412" t="n"/>
      <c r="O66" s="412" t="n"/>
      <c r="P66" s="412" t="n"/>
      <c r="Q66" s="413" t="n"/>
    </row>
    <row r="67" ht="15" customHeight="1">
      <c r="B67" s="314" t="inlineStr">
        <is>
          <t>• Benchmark-Spalten (O-Q): Dienen als Branchenreferenz für Investoren/Stakeholder – alle Werte sind quellenbelegt</t>
        </is>
      </c>
      <c r="C67" s="412" t="n"/>
      <c r="D67" s="412" t="n"/>
      <c r="E67" s="412" t="n"/>
      <c r="F67" s="412" t="n"/>
      <c r="G67" s="412" t="n"/>
      <c r="H67" s="412" t="n"/>
      <c r="I67" s="412" t="n"/>
      <c r="J67" s="412" t="n"/>
      <c r="K67" s="412" t="n"/>
      <c r="L67" s="412" t="n"/>
      <c r="M67" s="412" t="n"/>
      <c r="N67" s="412" t="n"/>
      <c r="O67" s="412" t="n"/>
      <c r="P67" s="412" t="n"/>
      <c r="Q67" s="413" t="n"/>
    </row>
    <row r="68" ht="15" customHeight="1">
      <c r="B68" s="406" t="inlineStr">
        <is>
          <t>• PHYOX Hybrid-Modell (64% B2B + 36% B2C) erfordert gewichteten Benchmark-Vergleich – reiner B2B oder B2C Vergleich wäre irreführend</t>
        </is>
      </c>
      <c r="C68" s="412" t="n"/>
      <c r="D68" s="412" t="n"/>
      <c r="E68" s="412" t="n"/>
      <c r="F68" s="412" t="n"/>
      <c r="G68" s="412" t="n"/>
      <c r="H68" s="412" t="n"/>
      <c r="I68" s="412" t="n"/>
      <c r="J68" s="412" t="n"/>
      <c r="K68" s="412" t="n"/>
      <c r="L68" s="412" t="n"/>
      <c r="M68" s="412" t="n"/>
      <c r="N68" s="412" t="n"/>
      <c r="O68" s="412" t="n"/>
      <c r="P68" s="412" t="n"/>
      <c r="Q68" s="413" t="n"/>
    </row>
  </sheetData>
  <mergeCells count="15">
    <mergeCell ref="B67:Q67"/>
    <mergeCell ref="B46:Q46"/>
    <mergeCell ref="B36:Q36"/>
    <mergeCell ref="B66:Q66"/>
    <mergeCell ref="B1:N1"/>
    <mergeCell ref="B63:Q63"/>
    <mergeCell ref="B27:Q27"/>
    <mergeCell ref="B65:Q65"/>
    <mergeCell ref="B53:Q53"/>
    <mergeCell ref="B4:Q4"/>
    <mergeCell ref="B68:Q68"/>
    <mergeCell ref="B62:Q62"/>
    <mergeCell ref="B64:Q64"/>
    <mergeCell ref="B2:N2"/>
    <mergeCell ref="B19:Q19"/>
  </mergeCells>
  <printOptions horizontalCentered="0"/>
  <pageMargins left="0.5" right="0.5" top="0.75" bottom="0.75" header="0.511811023622047" footer="0.511811023622047"/>
  <pageSetup orientation="landscape" paperSize="9" horizontalDpi="300" verticalDpi="300"/>
</worksheet>
</file>

<file path=xl/worksheets/sheet18.xml><?xml version="1.0" encoding="utf-8"?>
<worksheet xmlns="http://schemas.openxmlformats.org/spreadsheetml/2006/main">
  <sheetPr>
    <tabColor rgb="002D5A27"/>
    <outlinePr summaryBelow="1" summaryRight="1"/>
    <pageSetUpPr fitToPage="1"/>
  </sheetPr>
  <dimension ref="B1:H77"/>
  <sheetViews>
    <sheetView zoomScale="115" zoomScaleNormal="100" workbookViewId="0">
      <pane ySplit="1" topLeftCell="A2" activePane="bottomLeft" state="frozen"/>
      <selection pane="bottomLeft" activeCell="B1" sqref="B1"/>
      <selection pane="bottomLeft" activeCell="A4" sqref="A4"/>
      <selection pane="bottomRight" activeCell="C3" sqref="C3"/>
    </sheetView>
  </sheetViews>
  <sheetFormatPr baseColWidth="10" defaultColWidth="8.6640625" defaultRowHeight="15" customHeight="1"/>
  <cols>
    <col width="10" customWidth="1" min="1" max="1"/>
    <col width="30" customWidth="1" min="2" max="2"/>
    <col width="19" customWidth="1" min="3" max="6"/>
    <col width="19" customWidth="1" min="4" max="4"/>
    <col width="19" customWidth="1" min="5" max="5"/>
    <col width="30" customWidth="1" min="6" max="6"/>
    <col width="30" customWidth="1" min="7" max="7"/>
    <col width="30" customWidth="1" min="8" max="8"/>
  </cols>
  <sheetData>
    <row r="1" ht="24" customHeight="1">
      <c r="B1" s="405" t="inlineStr">
        <is>
          <t>PHYOX BioGenesis – Marketing-Benchmark-Analyse</t>
        </is>
      </c>
      <c r="C1" s="412" t="n"/>
      <c r="D1" s="412" t="n"/>
      <c r="E1" s="412" t="n"/>
      <c r="F1" s="412" t="n"/>
      <c r="G1" s="412" t="n"/>
      <c r="H1" s="413" t="n"/>
    </row>
    <row r="2" ht="15" customHeight="1">
      <c r="B2" s="406" t="inlineStr">
        <is>
          <t>Vergleich der Marketingkosten mit Branchenbenchmarks (Supplemente / Nahrungsergänzung / B2B Ingredients)</t>
        </is>
      </c>
      <c r="C2" s="412" t="n"/>
      <c r="D2" s="412" t="n"/>
      <c r="E2" s="412" t="n"/>
      <c r="F2" s="412" t="n"/>
      <c r="G2" s="412" t="n"/>
      <c r="H2" s="413" t="n"/>
    </row>
    <row r="3"/>
    <row r="4" ht="15" customHeight="1">
      <c r="B4" s="325" t="inlineStr">
        <is>
          <t>1. BRANCHENBENCHMARKS: MARKETING ALS % VOM UMSATZ</t>
        </is>
      </c>
      <c r="C4" s="412" t="n"/>
      <c r="D4" s="412" t="n"/>
      <c r="E4" s="412" t="n"/>
      <c r="F4" s="412" t="n"/>
      <c r="G4" s="412" t="n"/>
      <c r="H4" s="413" t="n"/>
    </row>
    <row r="5" ht="15" customHeight="1">
      <c r="B5" s="334" t="inlineStr">
        <is>
          <t>Segment / Vergleichsunternehmen</t>
        </is>
      </c>
      <c r="C5" s="334" t="inlineStr">
        <is>
          <t>Marketing/SGA %</t>
        </is>
      </c>
      <c r="D5" s="334" t="inlineStr">
        <is>
          <t>Typ</t>
        </is>
      </c>
      <c r="E5" s="334" t="inlineStr">
        <is>
          <t>PHYOX aktuell</t>
        </is>
      </c>
      <c r="F5" s="334" t="inlineStr">
        <is>
          <t>Abweichung</t>
        </is>
      </c>
      <c r="G5" s="334" t="inlineStr">
        <is>
          <t>Bewertung</t>
        </is>
      </c>
      <c r="H5" s="334" t="inlineStr">
        <is>
          <t>Quelle</t>
        </is>
      </c>
    </row>
    <row r="6" ht="15" customHeight="1">
      <c r="B6" s="406" t="inlineStr">
        <is>
          <t>B2B Manufacturing (allgemein)</t>
        </is>
      </c>
      <c r="C6" s="406" t="inlineStr">
        <is>
          <t>2.4% - 7.5%</t>
        </is>
      </c>
      <c r="D6" s="406" t="inlineStr">
        <is>
          <t>B2B</t>
        </is>
      </c>
      <c r="E6" s="411" t="n">
        <v>0.12</v>
      </c>
      <c r="F6" s="403" t="inlineStr">
        <is>
          <t>Deutlich über Benchmark</t>
        </is>
      </c>
      <c r="G6" s="290" t="n"/>
      <c r="H6" s="406" t="inlineStr">
        <is>
          <t>Gartner CMO Survey 2024</t>
        </is>
      </c>
    </row>
    <row r="7" ht="15" customHeight="1">
      <c r="B7" s="314" t="inlineStr">
        <is>
          <t>B2B Produkte (Gartner 2024)</t>
        </is>
      </c>
      <c r="C7" s="314" t="inlineStr">
        <is>
          <t>7.9%</t>
        </is>
      </c>
      <c r="D7" s="314" t="inlineStr">
        <is>
          <t>B2B</t>
        </is>
      </c>
      <c r="E7" s="329" t="n">
        <v>0.12</v>
      </c>
      <c r="F7" s="403" t="inlineStr">
        <is>
          <t>Über Benchmark (+4.1 PP)</t>
        </is>
      </c>
      <c r="G7" s="290" t="n"/>
      <c r="H7" s="314" t="inlineStr">
        <is>
          <t>Gartner 2024 Budget Benchmark</t>
        </is>
      </c>
    </row>
    <row r="8" ht="15" customHeight="1">
      <c r="B8" s="406" t="inlineStr">
        <is>
          <t>B2B Unternehmen Durchschnitt</t>
        </is>
      </c>
      <c r="C8" s="406" t="inlineStr">
        <is>
          <t>8.4%</t>
        </is>
      </c>
      <c r="D8" s="406" t="inlineStr">
        <is>
          <t>B2B</t>
        </is>
      </c>
      <c r="E8" s="411" t="n">
        <v>0.12</v>
      </c>
      <c r="F8" s="401" t="inlineStr">
        <is>
          <t>Über Benchmark (+3.6 PP)</t>
        </is>
      </c>
      <c r="G8" s="292" t="n"/>
      <c r="H8" s="406" t="inlineStr">
        <is>
          <t>Forrester 2025 B2B Survey</t>
        </is>
      </c>
    </row>
    <row r="9" ht="15" customHeight="1">
      <c r="B9" s="314" t="inlineStr">
        <is>
          <t>ADM (Agrar-/Ingredient-Konzern)</t>
        </is>
      </c>
      <c r="C9" s="314" t="inlineStr">
        <is>
          <t>4.3% SGA</t>
        </is>
      </c>
      <c r="D9" s="314" t="inlineStr">
        <is>
          <t>B2B Bulk</t>
        </is>
      </c>
      <c r="E9" s="329" t="n">
        <v>0.12</v>
      </c>
      <c r="F9" s="403" t="inlineStr">
        <is>
          <t>Stark über ADM-Level</t>
        </is>
      </c>
      <c r="G9" s="290" t="n"/>
      <c r="H9" s="314" t="inlineStr">
        <is>
          <t>ADM 10-K FY2024</t>
        </is>
      </c>
    </row>
    <row r="10" ht="15" customHeight="1">
      <c r="B10" s="406" t="inlineStr">
        <is>
          <t>Balchem (Specialty Ingredients)</t>
        </is>
      </c>
      <c r="C10" s="406" t="inlineStr">
        <is>
          <t>15.7% SGA</t>
        </is>
      </c>
      <c r="D10" s="406" t="inlineStr">
        <is>
          <t>B2B Spezial</t>
        </is>
      </c>
      <c r="E10" s="411" t="n">
        <v>0.12</v>
      </c>
      <c r="F10" s="373" t="inlineStr">
        <is>
          <t>Im Rahmen (SGA inkl. Admin)</t>
        </is>
      </c>
      <c r="G10" s="294" t="n"/>
      <c r="H10" s="406" t="inlineStr">
        <is>
          <t>Balchem 10-K FY2024</t>
        </is>
      </c>
    </row>
    <row r="11" ht="15" customHeight="1">
      <c r="B11" s="314" t="inlineStr">
        <is>
          <t>B2B Mature/Nische</t>
        </is>
      </c>
      <c r="C11" s="314" t="inlineStr">
        <is>
          <t>5% - 7%</t>
        </is>
      </c>
      <c r="D11" s="314" t="inlineStr">
        <is>
          <t>B2B</t>
        </is>
      </c>
      <c r="E11" s="329" t="n">
        <v>0.12</v>
      </c>
      <c r="F11" s="403" t="inlineStr">
        <is>
          <t>Deutlich über Benchmark</t>
        </is>
      </c>
      <c r="G11" s="290" t="n"/>
      <c r="H11" s="314" t="inlineStr">
        <is>
          <t>BDC / Forrester</t>
        </is>
      </c>
    </row>
    <row r="12" ht="15" customHeight="1">
      <c r="B12" s="406" t="inlineStr">
        <is>
          <t>B2B Ingredient Supplier (geschätzt)</t>
        </is>
      </c>
      <c r="C12" s="406" t="inlineStr">
        <is>
          <t>3% - 8%</t>
        </is>
      </c>
      <c r="D12" s="406" t="inlineStr">
        <is>
          <t>B2B Bulk</t>
        </is>
      </c>
      <c r="E12" s="411" t="n">
        <v>0.12</v>
      </c>
      <c r="F12" s="403" t="inlineStr">
        <is>
          <t>Über Branchennorm</t>
        </is>
      </c>
      <c r="G12" s="290" t="n"/>
      <c r="H12" s="406" t="inlineStr">
        <is>
          <t>Branchenschätzung</t>
        </is>
      </c>
    </row>
    <row r="13" ht="15" customHeight="1">
      <c r="B13" s="10" t="n"/>
      <c r="C13" s="399" t="n"/>
      <c r="D13" s="399" t="n"/>
      <c r="E13" s="399" t="n"/>
      <c r="F13" s="399" t="n"/>
      <c r="G13" s="399" t="n"/>
      <c r="H13" s="399" t="n"/>
    </row>
    <row r="14" ht="15" customHeight="1">
      <c r="B14" s="406" t="inlineStr">
        <is>
          <t>Supplement-Industrie (gesamt)</t>
        </is>
      </c>
      <c r="C14" s="406" t="inlineStr">
        <is>
          <t>5% - 15%</t>
        </is>
      </c>
      <c r="D14" s="406" t="inlineStr">
        <is>
          <t>Mix</t>
        </is>
      </c>
      <c r="E14" s="411" t="n">
        <v>0.222</v>
      </c>
      <c r="F14" s="401" t="inlineStr">
        <is>
          <t>Im oberen Bereich</t>
        </is>
      </c>
      <c r="G14" s="292" t="n"/>
      <c r="H14" s="406" t="inlineStr">
        <is>
          <t>Creative Thirst / Branche</t>
        </is>
      </c>
    </row>
    <row r="15" ht="15" customHeight="1">
      <c r="B15" s="314" t="inlineStr">
        <is>
          <t>B2C DTC Supplement</t>
        </is>
      </c>
      <c r="C15" s="314" t="inlineStr">
        <is>
          <t>35% - 55%</t>
        </is>
      </c>
      <c r="D15" s="314" t="inlineStr">
        <is>
          <t>B2C DTC</t>
        </is>
      </c>
      <c r="E15" s="329" t="n">
        <v>0.4</v>
      </c>
      <c r="F15" s="373" t="inlineStr">
        <is>
          <t>Im Benchmark-Korridor</t>
        </is>
      </c>
      <c r="G15" s="294" t="n"/>
      <c r="H15" s="314" t="inlineStr">
        <is>
          <t>Branchenbenchmark DTC</t>
        </is>
      </c>
    </row>
    <row r="16" ht="15" customHeight="1">
      <c r="B16" s="406" t="inlineStr">
        <is>
          <t>Herbalife (MLM/DTC)</t>
        </is>
      </c>
      <c r="C16" s="406" t="inlineStr">
        <is>
          <t>~39% SGA</t>
        </is>
      </c>
      <c r="D16" s="406" t="inlineStr">
        <is>
          <t>B2C</t>
        </is>
      </c>
      <c r="E16" s="411" t="n">
        <v>0.4</v>
      </c>
      <c r="F16" s="373" t="inlineStr">
        <is>
          <t>Vergleichbar</t>
        </is>
      </c>
      <c r="G16" s="294" t="n"/>
      <c r="H16" s="406" t="inlineStr">
        <is>
          <t>Herbalife Financials</t>
        </is>
      </c>
    </row>
    <row r="17" ht="15" customHeight="1">
      <c r="B17" s="314" t="inlineStr">
        <is>
          <t>CPG Konsumgüter (allgemein)</t>
        </is>
      </c>
      <c r="C17" s="314" t="inlineStr">
        <is>
          <t>~18%</t>
        </is>
      </c>
      <c r="D17" s="314" t="inlineStr">
        <is>
          <t>B2C</t>
        </is>
      </c>
      <c r="E17" s="329" t="n">
        <v>0.4</v>
      </c>
      <c r="F17" s="401" t="inlineStr">
        <is>
          <t>PHYOX B2C darüber (DTC-Modell)</t>
        </is>
      </c>
      <c r="G17" s="292" t="n"/>
      <c r="H17" s="314" t="inlineStr">
        <is>
          <t>Gartner 2024</t>
        </is>
      </c>
    </row>
    <row r="19" ht="15" customHeight="1">
      <c r="B19" s="325" t="inlineStr">
        <is>
          <t>2. PHYOX B2B MARKETING: DETAILVERGLEICH</t>
        </is>
      </c>
      <c r="C19" s="412" t="n"/>
      <c r="D19" s="412" t="n"/>
      <c r="E19" s="412" t="n"/>
      <c r="F19" s="412" t="n"/>
      <c r="G19" s="412" t="n"/>
      <c r="H19" s="413" t="n"/>
    </row>
    <row r="20" ht="15" customHeight="1">
      <c r="B20" s="334" t="inlineStr">
        <is>
          <t>Kennzahl</t>
        </is>
      </c>
      <c r="C20" s="334" t="inlineStr">
        <is>
          <t>PHYOX Jahr 1</t>
        </is>
      </c>
      <c r="D20" s="334" t="inlineStr">
        <is>
          <t>PHYOX Jahr 5</t>
        </is>
      </c>
      <c r="E20" s="334" t="inlineStr">
        <is>
          <t>PHYOX Jahr 10</t>
        </is>
      </c>
      <c r="F20" s="334" t="inlineStr">
        <is>
          <t>Branchen-Benchmark</t>
        </is>
      </c>
      <c r="G20" s="334" t="inlineStr">
        <is>
          <t>Bewertung</t>
        </is>
      </c>
    </row>
    <row r="21" ht="15" customHeight="1">
      <c r="B21" s="314" t="inlineStr">
        <is>
          <t>B2B Marketing % vom B2B-Umsatz</t>
        </is>
      </c>
      <c r="C21" s="329" t="n">
        <v>0.12</v>
      </c>
      <c r="D21" s="329" t="n">
        <v>0.1</v>
      </c>
      <c r="E21" s="329" t="n">
        <v>0.08</v>
      </c>
      <c r="F21" s="314" t="inlineStr">
        <is>
          <t>3-8% (Ingredient)</t>
        </is>
      </c>
      <c r="G21" s="403" t="inlineStr">
        <is>
          <t>Jahr 1: zu hoch, Jahr 10: Obergrenze</t>
        </is>
      </c>
    </row>
    <row r="22" ht="15" customHeight="1">
      <c r="B22" s="406" t="inlineStr">
        <is>
          <t>B2B Marketing absolut</t>
        </is>
      </c>
      <c r="C22" s="411" t="n">
        <v>1169230</v>
      </c>
      <c r="D22" s="411" t="n">
        <v>1553513</v>
      </c>
      <c r="E22" s="411" t="n">
        <v>1946943</v>
      </c>
      <c r="F22" s="280" t="n"/>
      <c r="G22" s="257" t="n"/>
    </row>
    <row r="23" ht="15" customHeight="1">
      <c r="B23" s="314" t="inlineStr">
        <is>
          <t>B2B Marketing pro Monat</t>
        </is>
      </c>
      <c r="C23" s="329" t="n">
        <v>97436</v>
      </c>
      <c r="D23" s="329" t="n">
        <v>129459</v>
      </c>
      <c r="E23" s="329" t="n">
        <v>162245</v>
      </c>
      <c r="F23" s="314" t="inlineStr">
        <is>
          <t>€25k-75k üblich</t>
        </is>
      </c>
      <c r="G23" s="403" t="inlineStr">
        <is>
          <t>Deutlich über Branchennorm</t>
        </is>
      </c>
    </row>
    <row r="25" ht="15" customHeight="1">
      <c r="B25" s="314" t="inlineStr">
        <is>
          <t>Davon: Performance Marketing</t>
        </is>
      </c>
      <c r="C25" s="329" t="n">
        <v>350769</v>
      </c>
      <c r="D25" s="329" t="n">
        <v>466054</v>
      </c>
      <c r="E25" s="329" t="n">
        <v>584083</v>
      </c>
      <c r="F25" s="314" t="inlineStr">
        <is>
          <t>€5k-15k/Mo üblich</t>
        </is>
      </c>
      <c r="G25" s="403" t="inlineStr">
        <is>
          <t>Sehr hoch für B2B Ingredients</t>
        </is>
      </c>
    </row>
    <row r="26" ht="15" customHeight="1">
      <c r="B26" s="406" t="inlineStr">
        <is>
          <t>Davon: Sales &amp; Outreach</t>
        </is>
      </c>
      <c r="C26" s="411" t="n">
        <v>526153</v>
      </c>
      <c r="D26" s="411" t="n">
        <v>699081</v>
      </c>
      <c r="E26" s="411" t="n">
        <v>876125</v>
      </c>
      <c r="F26" s="406" t="inlineStr">
        <is>
          <t>€15k-40k/Mo</t>
        </is>
      </c>
      <c r="G26" s="373" t="inlineStr">
        <is>
          <t>Ambitioniert aber vertretbar</t>
        </is>
      </c>
    </row>
    <row r="27" ht="15" customHeight="1">
      <c r="B27" s="314" t="inlineStr">
        <is>
          <t>Davon: Content &amp; SEO</t>
        </is>
      </c>
      <c r="C27" s="329" t="n">
        <v>175384</v>
      </c>
      <c r="D27" s="329" t="n">
        <v>233027</v>
      </c>
      <c r="E27" s="329" t="n">
        <v>292042</v>
      </c>
      <c r="F27" s="314" t="inlineStr">
        <is>
          <t>€5k-10k/Mo</t>
        </is>
      </c>
      <c r="G27" s="373" t="inlineStr">
        <is>
          <t>Angemessen</t>
        </is>
      </c>
    </row>
    <row r="28" ht="15" customHeight="1">
      <c r="B28" s="406" t="inlineStr">
        <is>
          <t>Davon: Tools &amp; Infrastruktur</t>
        </is>
      </c>
      <c r="C28" s="411" t="n">
        <v>116923</v>
      </c>
      <c r="D28" s="411" t="n">
        <v>155351</v>
      </c>
      <c r="E28" s="411" t="n">
        <v>194694</v>
      </c>
      <c r="F28" s="406" t="inlineStr">
        <is>
          <t>€3k-8k/Mo</t>
        </is>
      </c>
      <c r="G28" s="403" t="inlineStr">
        <is>
          <t>Leicht über Benchmark</t>
        </is>
      </c>
    </row>
    <row r="30" ht="15" customHeight="1">
      <c r="B30" s="325" t="inlineStr">
        <is>
          <t>3. KERNPROBLEM: B2B INGREDIENT vs. B2B BRANDED</t>
        </is>
      </c>
      <c r="C30" s="412" t="n"/>
      <c r="D30" s="412" t="n"/>
      <c r="E30" s="412" t="n"/>
      <c r="F30" s="412" t="n"/>
      <c r="G30" s="412" t="n"/>
      <c r="H30" s="413" t="n"/>
    </row>
    <row r="31" ht="15" customHeight="1">
      <c r="B31" s="314" t="inlineStr">
        <is>
          <t>PHYOX ist primär ein B2B Bulk-/Retail-Ingredient-Supplier (64% des Umsatzes) – KEIN Consumer Brand.</t>
        </is>
      </c>
      <c r="C31" s="412" t="n"/>
      <c r="D31" s="412" t="n"/>
      <c r="E31" s="412" t="n"/>
      <c r="F31" s="412" t="n"/>
      <c r="G31" s="412" t="n"/>
      <c r="H31" s="413" t="n"/>
    </row>
    <row r="32" ht="15" customHeight="1">
      <c r="B32" s="406" t="inlineStr">
        <is>
          <t>B2B Ingredient-Supplier haben typischerweise 3-8% Marketing/Vertriebskosten, weil:</t>
        </is>
      </c>
      <c r="C32" s="412" t="n"/>
      <c r="D32" s="412" t="n"/>
      <c r="E32" s="412" t="n"/>
      <c r="F32" s="412" t="n"/>
      <c r="G32" s="412" t="n"/>
      <c r="H32" s="413" t="n"/>
    </row>
    <row r="33" ht="15" customHeight="1">
      <c r="B33" s="314" t="inlineStr">
        <is>
          <t>• Kunden sind Einkaufsabteilungen/Formulierer → rationale, spezifikationsbasierte Kaufentscheidung</t>
        </is>
      </c>
      <c r="C33" s="412" t="n"/>
      <c r="D33" s="412" t="n"/>
      <c r="E33" s="412" t="n"/>
      <c r="F33" s="412" t="n"/>
      <c r="G33" s="412" t="n"/>
      <c r="H33" s="413" t="n"/>
    </row>
    <row r="34" ht="15" customHeight="1">
      <c r="B34" s="406" t="inlineStr">
        <is>
          <t>• Verkaufszyklus über persönliche Beziehungen, Messen, Zertifizierungen – nicht über Paid Ads</t>
        </is>
      </c>
      <c r="C34" s="412" t="n"/>
      <c r="D34" s="412" t="n"/>
      <c r="E34" s="412" t="n"/>
      <c r="F34" s="412" t="n"/>
      <c r="G34" s="412" t="n"/>
      <c r="H34" s="413" t="n"/>
    </row>
    <row r="35" ht="15" customHeight="1">
      <c r="B35" s="314" t="inlineStr">
        <is>
          <t>• Bulk-Ingredient-Markt: Preis/Qualität/Zertifizierung entscheidend, nicht Markenbekanntheit</t>
        </is>
      </c>
      <c r="C35" s="412" t="n"/>
      <c r="D35" s="412" t="n"/>
      <c r="E35" s="412" t="n"/>
      <c r="F35" s="412" t="n"/>
      <c r="G35" s="412" t="n"/>
      <c r="H35" s="413" t="n"/>
    </row>
    <row r="36" ht="15" customHeight="1">
      <c r="B36" s="406" t="inlineStr">
        <is>
          <t>• Wenige, große Kunden → Direktvertrieb (Key Account Management), kaum Streuung nötig</t>
        </is>
      </c>
      <c r="C36" s="412" t="n"/>
      <c r="D36" s="412" t="n"/>
      <c r="E36" s="412" t="n"/>
      <c r="F36" s="412" t="n"/>
      <c r="G36" s="412" t="n"/>
      <c r="H36" s="413" t="n"/>
    </row>
    <row r="37" ht="15" customHeight="1">
      <c r="B37" s="314" t="inlineStr">
        <is>
          <t>• Performance Marketing (Google/LinkedIn Ads) hat im B2B Bulk sehr begrenzten ROAS</t>
        </is>
      </c>
      <c r="C37" s="412" t="n"/>
      <c r="D37" s="412" t="n"/>
      <c r="E37" s="412" t="n"/>
      <c r="F37" s="412" t="n"/>
      <c r="G37" s="412" t="n"/>
      <c r="H37" s="413" t="n"/>
    </row>
    <row r="39" ht="15" customHeight="1">
      <c r="B39" s="325" t="inlineStr">
        <is>
          <t>4. EMPFOHLENE ANPASSUNG DER MARKETING-PARAMETER</t>
        </is>
      </c>
      <c r="C39" s="412" t="n"/>
      <c r="D39" s="412" t="n"/>
      <c r="E39" s="412" t="n"/>
      <c r="F39" s="412" t="n"/>
      <c r="G39" s="412" t="n"/>
      <c r="H39" s="413" t="n"/>
    </row>
    <row r="40" ht="15" customHeight="1">
      <c r="B40" s="334" t="inlineStr">
        <is>
          <t>Parameter</t>
        </is>
      </c>
      <c r="C40" s="334" t="inlineStr">
        <is>
          <t>Aktuell</t>
        </is>
      </c>
      <c r="D40" s="334" t="inlineStr">
        <is>
          <t>Empfohlen</t>
        </is>
      </c>
      <c r="E40" s="334" t="inlineStr">
        <is>
          <t>Einsparung J1</t>
        </is>
      </c>
      <c r="F40" s="334" t="inlineStr">
        <is>
          <t>Begründung</t>
        </is>
      </c>
    </row>
    <row r="41" ht="15" customHeight="1">
      <c r="B41" s="314" t="inlineStr">
        <is>
          <t>B2B Marketing % (Jahr 1)</t>
        </is>
      </c>
      <c r="C41" s="314" t="inlineStr">
        <is>
          <t>12.0%</t>
        </is>
      </c>
      <c r="D41" s="373" t="inlineStr">
        <is>
          <t>6-8%</t>
        </is>
      </c>
      <c r="E41" s="314" t="inlineStr">
        <is>
          <t>€390k-€585k</t>
        </is>
      </c>
      <c r="F41" s="314" t="inlineStr">
        <is>
          <t>Angleichung an Ingredient-Benchmark</t>
        </is>
      </c>
      <c r="G41" s="412" t="n"/>
      <c r="H41" s="413" t="n"/>
    </row>
    <row r="42" ht="15" customHeight="1">
      <c r="B42" s="406" t="inlineStr">
        <is>
          <t>B2B Marketing % (Jahr 5)</t>
        </is>
      </c>
      <c r="C42" s="406" t="inlineStr">
        <is>
          <t>10.0%</t>
        </is>
      </c>
      <c r="D42" s="373" t="inlineStr">
        <is>
          <t>5-7%</t>
        </is>
      </c>
      <c r="E42" s="406" t="inlineStr">
        <is>
          <t>€310k-€465k</t>
        </is>
      </c>
      <c r="F42" s="406" t="inlineStr">
        <is>
          <t>Effizienzgewinn durch Kundenbindung</t>
        </is>
      </c>
      <c r="G42" s="412" t="n"/>
      <c r="H42" s="413" t="n"/>
    </row>
    <row r="43" ht="15" customHeight="1">
      <c r="B43" s="314" t="inlineStr">
        <is>
          <t>B2B Marketing % (Jahr 10)</t>
        </is>
      </c>
      <c r="C43" s="314" t="inlineStr">
        <is>
          <t>8.0%</t>
        </is>
      </c>
      <c r="D43" s="373" t="inlineStr">
        <is>
          <t>4-6%</t>
        </is>
      </c>
      <c r="E43" s="314" t="inlineStr">
        <is>
          <t>€195k-€390k</t>
        </is>
      </c>
      <c r="F43" s="314" t="inlineStr">
        <is>
          <t>Etablierte Kundenbeziehungen</t>
        </is>
      </c>
      <c r="G43" s="412" t="n"/>
      <c r="H43" s="413" t="n"/>
    </row>
    <row r="44" ht="15" customHeight="1">
      <c r="B44" s="406" t="inlineStr">
        <is>
          <t>B2B: Performance Mkt Anteil</t>
        </is>
      </c>
      <c r="C44" s="406" t="inlineStr">
        <is>
          <t>30%</t>
        </is>
      </c>
      <c r="D44" s="373" t="inlineStr">
        <is>
          <t>15-20%</t>
        </is>
      </c>
      <c r="E44" s="287" t="n"/>
      <c r="F44" s="406" t="inlineStr">
        <is>
          <t>Weniger Paid Ads, mehr Direct Sales</t>
        </is>
      </c>
      <c r="G44" s="412" t="n"/>
      <c r="H44" s="413" t="n"/>
    </row>
    <row r="45" ht="15" customHeight="1">
      <c r="B45" s="314" t="inlineStr">
        <is>
          <t>B2B: Sales &amp; Outreach Anteil</t>
        </is>
      </c>
      <c r="C45" s="314" t="inlineStr">
        <is>
          <t>45%</t>
        </is>
      </c>
      <c r="D45" s="373" t="inlineStr">
        <is>
          <t>55-65%</t>
        </is>
      </c>
      <c r="E45" s="287" t="n"/>
      <c r="F45" s="314" t="inlineStr">
        <is>
          <t>Kerntreiber im B2B Ingredient</t>
        </is>
      </c>
      <c r="G45" s="412" t="n"/>
      <c r="H45" s="413" t="n"/>
    </row>
    <row r="46" ht="15" customHeight="1">
      <c r="B46" s="406" t="inlineStr">
        <is>
          <t>B2B: Content &amp; SEO</t>
        </is>
      </c>
      <c r="C46" s="406" t="inlineStr">
        <is>
          <t>15%</t>
        </is>
      </c>
      <c r="D46" s="373" t="inlineStr">
        <is>
          <t>10-15%</t>
        </is>
      </c>
      <c r="E46" s="287" t="n"/>
      <c r="F46" s="406" t="inlineStr">
        <is>
          <t>Whitepaper, Zertifizierungen</t>
        </is>
      </c>
      <c r="G46" s="412" t="n"/>
      <c r="H46" s="413" t="n"/>
    </row>
    <row r="47" ht="15" customHeight="1">
      <c r="B47" s="314" t="inlineStr">
        <is>
          <t>B2B: Tools</t>
        </is>
      </c>
      <c r="C47" s="314" t="inlineStr">
        <is>
          <t>10%</t>
        </is>
      </c>
      <c r="D47" s="373" t="inlineStr">
        <is>
          <t>5-10%</t>
        </is>
      </c>
      <c r="E47" s="287" t="n"/>
      <c r="F47" s="314" t="inlineStr">
        <is>
          <t>Schlank halten</t>
        </is>
      </c>
      <c r="G47" s="412" t="n"/>
      <c r="H47" s="413" t="n"/>
    </row>
    <row r="49" ht="15" customHeight="1">
      <c r="B49" s="314" t="inlineStr">
        <is>
          <t>B2C Marketing % (Jahr 1)</t>
        </is>
      </c>
      <c r="C49" s="314" t="inlineStr">
        <is>
          <t>40.0%</t>
        </is>
      </c>
      <c r="D49" s="373" t="inlineStr">
        <is>
          <t>35-40%</t>
        </is>
      </c>
      <c r="E49" s="314" t="inlineStr">
        <is>
          <t>€0-€273k</t>
        </is>
      </c>
      <c r="F49" s="314" t="inlineStr">
        <is>
          <t>Am Benchmark, ggf. leicht senken</t>
        </is>
      </c>
      <c r="G49" s="412" t="n"/>
      <c r="H49" s="413" t="n"/>
    </row>
    <row r="50" ht="15" customHeight="1">
      <c r="B50" s="406" t="inlineStr">
        <is>
          <t>B2C Marketing % (Jahr 10)</t>
        </is>
      </c>
      <c r="C50" s="406" t="inlineStr">
        <is>
          <t>27.0%</t>
        </is>
      </c>
      <c r="D50" s="373" t="inlineStr">
        <is>
          <t>25-30%</t>
        </is>
      </c>
      <c r="E50" s="287" t="n"/>
      <c r="F50" s="406" t="inlineStr">
        <is>
          <t>Realistisch für reifes DTC</t>
        </is>
      </c>
      <c r="G50" s="412" t="n"/>
      <c r="H50" s="413" t="n"/>
    </row>
    <row r="52" ht="15" customHeight="1">
      <c r="B52" s="325" t="inlineStr">
        <is>
          <t>5. SZENARIO-VERGLEICH: AKTUELL vs. OPTIMIERT (Jahr 1)</t>
        </is>
      </c>
      <c r="C52" s="412" t="n"/>
      <c r="D52" s="412" t="n"/>
      <c r="E52" s="412" t="n"/>
      <c r="F52" s="412" t="n"/>
      <c r="G52" s="412" t="n"/>
      <c r="H52" s="413" t="n"/>
    </row>
    <row r="53" ht="15" customHeight="1">
      <c r="B53" s="334" t="inlineStr">
        <is>
          <t>Position</t>
        </is>
      </c>
      <c r="C53" s="334" t="inlineStr">
        <is>
          <t>Aktuell (12% B2B)</t>
        </is>
      </c>
      <c r="D53" s="334" t="inlineStr">
        <is>
          <t>Konservativ (8%)</t>
        </is>
      </c>
      <c r="E53" s="334" t="inlineStr">
        <is>
          <t>Aggressiv (6%)</t>
        </is>
      </c>
      <c r="F53" s="334" t="inlineStr">
        <is>
          <t>Differenz (konserv.)</t>
        </is>
      </c>
      <c r="G53" s="334" t="inlineStr">
        <is>
          <t>Differenz (aggr.)</t>
        </is>
      </c>
    </row>
    <row r="54" ht="15" customHeight="1">
      <c r="B54" s="406" t="inlineStr">
        <is>
          <t>B2B Marketing-Kosten</t>
        </is>
      </c>
      <c r="C54" s="411" t="n">
        <v>1169229.6</v>
      </c>
      <c r="D54" s="411" t="n">
        <v>779486.4</v>
      </c>
      <c r="E54" s="411" t="n">
        <v>584614.8</v>
      </c>
      <c r="F54" s="374" t="n">
        <v>-389743.2</v>
      </c>
      <c r="G54" s="374" t="n">
        <v>-584614.8</v>
      </c>
    </row>
    <row r="55" ht="15" customHeight="1">
      <c r="B55" s="314" t="inlineStr">
        <is>
          <t>B2C Marketing-Kosten</t>
        </is>
      </c>
      <c r="C55" s="329" t="n">
        <v>2185920</v>
      </c>
      <c r="D55" s="329" t="n">
        <v>2076624</v>
      </c>
      <c r="E55" s="329" t="n">
        <v>1912680</v>
      </c>
      <c r="F55" s="374" t="n">
        <v>-109296</v>
      </c>
      <c r="G55" s="374" t="n">
        <v>-273240</v>
      </c>
    </row>
    <row r="56" ht="15" customHeight="1">
      <c r="B56" s="406" t="inlineStr">
        <is>
          <t>Setup-Kosten</t>
        </is>
      </c>
      <c r="C56" s="411" t="n">
        <v>15500</v>
      </c>
      <c r="D56" s="411" t="n">
        <v>15500</v>
      </c>
      <c r="E56" s="411" t="n">
        <v>15500</v>
      </c>
      <c r="F56" s="374" t="n">
        <v>0</v>
      </c>
      <c r="G56" s="374" t="n">
        <v>0</v>
      </c>
    </row>
    <row r="57" ht="15" customHeight="1">
      <c r="B57" s="326" t="inlineStr">
        <is>
          <t>MARKETING GESAMT</t>
        </is>
      </c>
      <c r="C57" s="375" t="n">
        <v>3370649.6</v>
      </c>
      <c r="D57" s="375" t="n">
        <v>2871610.4</v>
      </c>
      <c r="E57" s="375" t="n">
        <v>2512794.8</v>
      </c>
      <c r="F57" s="374" t="n">
        <v>-499039.2</v>
      </c>
      <c r="G57" s="374" t="n">
        <v>-857854.8</v>
      </c>
    </row>
    <row r="58" ht="15" customHeight="1">
      <c r="B58" s="406" t="inlineStr">
        <is>
          <t>% vom Gesamtumsatz</t>
        </is>
      </c>
      <c r="C58" s="411" t="n">
        <v>0.221631074447114</v>
      </c>
      <c r="D58" s="411" t="n">
        <v>0.188817638696561</v>
      </c>
      <c r="E58" s="411" t="n">
        <v>0.165224356571837</v>
      </c>
    </row>
    <row r="59" ht="15" customHeight="1">
      <c r="B59" s="314" t="inlineStr">
        <is>
          <t>Implied ROAS</t>
        </is>
      </c>
      <c r="C59" s="329" t="n">
        <v>4.51200267153252</v>
      </c>
      <c r="D59" s="329" t="n">
        <v>5.2961153783257</v>
      </c>
      <c r="E59" s="329" t="n">
        <v>6.05237642166404</v>
      </c>
    </row>
    <row r="60" ht="15" customHeight="1">
      <c r="B60" s="406" t="inlineStr">
        <is>
          <t>Einsparung vs. Aktuell</t>
        </is>
      </c>
      <c r="F60" s="374" t="n">
        <v>-499039.2</v>
      </c>
      <c r="G60" s="374" t="n">
        <v>-857854.8</v>
      </c>
    </row>
    <row r="62" ht="15" customHeight="1">
      <c r="B62" s="325" t="inlineStr">
        <is>
          <t>6. FAZIT &amp; EMPFEHLUNG</t>
        </is>
      </c>
      <c r="C62" s="412" t="n"/>
      <c r="D62" s="412" t="n"/>
      <c r="E62" s="412" t="n"/>
      <c r="F62" s="412" t="n"/>
      <c r="G62" s="412" t="n"/>
      <c r="H62" s="413" t="n"/>
    </row>
    <row r="63" ht="15" customHeight="1">
      <c r="B63" s="314" t="inlineStr">
        <is>
          <t>→ Die aktuellen B2B-Marketingkosten von 12% liegen DEUTLICH über dem Branchenstandard für Ingredient-Supplier (3-8%).</t>
        </is>
      </c>
      <c r="C63" s="412" t="n"/>
      <c r="D63" s="412" t="n"/>
      <c r="E63" s="412" t="n"/>
      <c r="F63" s="412" t="n"/>
      <c r="G63" s="412" t="n"/>
      <c r="H63" s="413" t="n"/>
    </row>
    <row r="64" ht="15" customHeight="1">
      <c r="B64" s="406" t="inlineStr">
        <is>
          <t>→ Grund: Das Modell behandelt B2B wie Consumer-Marketing, aber Chlorella-Bulk-Kunden kaufen nach Spezifikation, nicht nach Brand Awareness.</t>
        </is>
      </c>
      <c r="C64" s="412" t="n"/>
      <c r="D64" s="412" t="n"/>
      <c r="E64" s="412" t="n"/>
      <c r="F64" s="412" t="n"/>
      <c r="G64" s="412" t="n"/>
      <c r="H64" s="413" t="n"/>
    </row>
    <row r="65" ht="15" customHeight="1">
      <c r="B65" s="314" t="inlineStr">
        <is>
          <t>→ EMPFEHLUNG: B2B-Anteil auf 6-8% senken → Einsparung €390k-€585k/Jahr bereits in Jahr 1.</t>
        </is>
      </c>
      <c r="C65" s="412" t="n"/>
      <c r="D65" s="412" t="n"/>
      <c r="E65" s="412" t="n"/>
      <c r="F65" s="412" t="n"/>
      <c r="G65" s="412" t="n"/>
      <c r="H65" s="413" t="n"/>
    </row>
    <row r="66" ht="15" customHeight="1">
      <c r="B66" s="406" t="inlineStr">
        <is>
          <t>→ Den B2B-Fokus auf Sales &amp; Outreach (Remote Team, Messen, Key Accounts) verlagern statt auf Performance Ads.</t>
        </is>
      </c>
      <c r="C66" s="412" t="n"/>
      <c r="D66" s="412" t="n"/>
      <c r="E66" s="412" t="n"/>
      <c r="F66" s="412" t="n"/>
      <c r="G66" s="412" t="n"/>
      <c r="H66" s="413" t="n"/>
    </row>
    <row r="67" ht="15" customHeight="1">
      <c r="B67" s="314" t="inlineStr">
        <is>
          <t>→ B2C-Kosten von 40% sind im DTC-Benchmark-Korridor (35-55%) und branchenkonform → kein Handlungsbedarf.</t>
        </is>
      </c>
      <c r="C67" s="412" t="n"/>
      <c r="D67" s="412" t="n"/>
      <c r="E67" s="412" t="n"/>
      <c r="F67" s="412" t="n"/>
      <c r="G67" s="412" t="n"/>
      <c r="H67" s="413" t="n"/>
    </row>
    <row r="68" ht="15" customHeight="1">
      <c r="B68" s="406" t="inlineStr">
        <is>
          <t>→ Gesamteffekt: Marketing sinkt von 22.2% auf 16-18% des Umsatzes → näher am Branchen-Sweet-Spot (15-18% für Mix-Modelle).</t>
        </is>
      </c>
      <c r="C68" s="412" t="n"/>
      <c r="D68" s="412" t="n"/>
      <c r="E68" s="412" t="n"/>
      <c r="F68" s="412" t="n"/>
      <c r="G68" s="412" t="n"/>
      <c r="H68" s="413" t="n"/>
    </row>
    <row r="70" ht="15" customHeight="1">
      <c r="B70" s="406" t="inlineStr">
        <is>
          <t>QUELLEN:</t>
        </is>
      </c>
      <c r="C70" s="412" t="n"/>
      <c r="D70" s="412" t="n"/>
      <c r="E70" s="412" t="n"/>
      <c r="F70" s="412" t="n"/>
      <c r="G70" s="412" t="n"/>
      <c r="H70" s="413" t="n"/>
    </row>
    <row r="71" ht="15" customHeight="1">
      <c r="B71" s="314" t="inlineStr">
        <is>
          <t>• Gartner CMO Survey 2024: B2B Marketing Budget 8.4% of Revenue</t>
        </is>
      </c>
      <c r="C71" s="412" t="n"/>
      <c r="D71" s="412" t="n"/>
      <c r="E71" s="412" t="n"/>
      <c r="F71" s="412" t="n"/>
      <c r="G71" s="412" t="n"/>
      <c r="H71" s="413" t="n"/>
    </row>
    <row r="72" ht="15" customHeight="1">
      <c r="B72" s="406" t="inlineStr">
        <is>
          <t>• Forrester 2025 B2B Marketing Budget Benchmarks</t>
        </is>
      </c>
      <c r="C72" s="412" t="n"/>
      <c r="D72" s="412" t="n"/>
      <c r="E72" s="412" t="n"/>
      <c r="F72" s="412" t="n"/>
      <c r="G72" s="412" t="n"/>
      <c r="H72" s="413" t="n"/>
    </row>
    <row r="73" ht="15" customHeight="1">
      <c r="B73" s="314" t="inlineStr">
        <is>
          <t>• ADM 10-K FY2024: SGA 4.3% of Revenue ($3.68B / $85.5B)</t>
        </is>
      </c>
      <c r="C73" s="412" t="n"/>
      <c r="D73" s="412" t="n"/>
      <c r="E73" s="412" t="n"/>
      <c r="F73" s="412" t="n"/>
      <c r="G73" s="412" t="n"/>
      <c r="H73" s="413" t="n"/>
    </row>
    <row r="74" ht="15" customHeight="1">
      <c r="B74" s="406" t="inlineStr">
        <is>
          <t>• Balchem 10-K FY2024: SGA 15.7% of Revenue ($155M / $986M) – inkl. Admin</t>
        </is>
      </c>
      <c r="C74" s="412" t="n"/>
      <c r="D74" s="412" t="n"/>
      <c r="E74" s="412" t="n"/>
      <c r="F74" s="412" t="n"/>
      <c r="G74" s="412" t="n"/>
      <c r="H74" s="413" t="n"/>
    </row>
    <row r="75" ht="15" customHeight="1">
      <c r="B75" s="314" t="inlineStr">
        <is>
          <t>• Creative Thirst: Supplement Business Metrics – Marketing 5-15% of Revenue</t>
        </is>
      </c>
      <c r="C75" s="412" t="n"/>
      <c r="D75" s="412" t="n"/>
      <c r="E75" s="412" t="n"/>
      <c r="F75" s="412" t="n"/>
      <c r="G75" s="412" t="n"/>
      <c r="H75" s="413" t="n"/>
    </row>
    <row r="76" ht="15" customHeight="1">
      <c r="B76" s="406" t="inlineStr">
        <is>
          <t>• BDC (Business Dev. Bank of Canada): B2B empfohlen 2-5%</t>
        </is>
      </c>
      <c r="C76" s="412" t="n"/>
      <c r="D76" s="412" t="n"/>
      <c r="E76" s="412" t="n"/>
      <c r="F76" s="412" t="n"/>
      <c r="G76" s="412" t="n"/>
      <c r="H76" s="413" t="n"/>
    </row>
    <row r="77" ht="15" customHeight="1">
      <c r="B77" s="314" t="inlineStr">
        <is>
          <t>• Sopro State of Marketing Spend 2025</t>
        </is>
      </c>
      <c r="C77" s="412" t="n"/>
      <c r="D77" s="412" t="n"/>
      <c r="E77" s="412" t="n"/>
      <c r="F77" s="412" t="n"/>
      <c r="G77" s="412" t="n"/>
      <c r="H77" s="413" t="n"/>
    </row>
  </sheetData>
  <mergeCells count="39">
    <mergeCell ref="F42:H42"/>
    <mergeCell ref="B74:H74"/>
    <mergeCell ref="F45:H45"/>
    <mergeCell ref="B68:H68"/>
    <mergeCell ref="B65:H65"/>
    <mergeCell ref="F41:H41"/>
    <mergeCell ref="F50:H50"/>
    <mergeCell ref="B30:H30"/>
    <mergeCell ref="B64:H64"/>
    <mergeCell ref="B33:H33"/>
    <mergeCell ref="B76:H76"/>
    <mergeCell ref="B37:H37"/>
    <mergeCell ref="B63:H63"/>
    <mergeCell ref="F47:H47"/>
    <mergeCell ref="B36:H36"/>
    <mergeCell ref="B32:H32"/>
    <mergeCell ref="F46:H46"/>
    <mergeCell ref="B35:H35"/>
    <mergeCell ref="B4:H4"/>
    <mergeCell ref="B75:H75"/>
    <mergeCell ref="F43:H43"/>
    <mergeCell ref="B62:H62"/>
    <mergeCell ref="B72:H72"/>
    <mergeCell ref="B31:H31"/>
    <mergeCell ref="B66:H66"/>
    <mergeCell ref="B71:H71"/>
    <mergeCell ref="F49:H49"/>
    <mergeCell ref="B52:H52"/>
    <mergeCell ref="B77:H77"/>
    <mergeCell ref="B39:H39"/>
    <mergeCell ref="B70:H70"/>
    <mergeCell ref="B2:H2"/>
    <mergeCell ref="F44:H44"/>
    <mergeCell ref="B67:H67"/>
    <mergeCell ref="B1:H1"/>
    <mergeCell ref="B13:H13"/>
    <mergeCell ref="B73:H73"/>
    <mergeCell ref="B19:H19"/>
    <mergeCell ref="B34:H34"/>
  </mergeCells>
  <printOptions horizontalCentered="0"/>
  <pageMargins left="0.5" right="0.5" top="0.75" bottom="0.75" header="0.511811023622047" footer="0.511811023622047"/>
  <pageSetup orientation="landscape" paperSize="9" horizontalDpi="300" verticalDpi="300"/>
</worksheet>
</file>

<file path=xl/worksheets/sheet19.xml><?xml version="1.0" encoding="utf-8"?>
<worksheet xmlns="http://schemas.openxmlformats.org/spreadsheetml/2006/main">
  <sheetPr>
    <tabColor rgb="0000D4FF"/>
    <outlinePr summaryBelow="1" summaryRight="1"/>
    <pageSetUpPr/>
  </sheetPr>
  <dimension ref="B1:AZ31"/>
  <sheetViews>
    <sheetView tabSelected="1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21" customWidth="1" min="3" max="3"/>
    <col width="30" customWidth="1" min="4" max="52"/>
    <col width="30" customWidth="1" min="5" max="5"/>
    <col width="30" customWidth="1" min="6" max="6"/>
    <col width="30" customWidth="1" min="7" max="7"/>
    <col width="30" customWidth="1" min="8" max="8"/>
    <col width="30" customWidth="1" min="9" max="9"/>
    <col width="30" customWidth="1" min="10" max="10"/>
    <col width="30" customWidth="1" min="11" max="11"/>
    <col width="30" customWidth="1" min="12" max="12"/>
    <col width="30" customWidth="1" min="13" max="13"/>
    <col width="30" customWidth="1" min="14" max="14"/>
    <col width="30" customWidth="1" min="15" max="15"/>
    <col width="30" customWidth="1" min="16" max="16"/>
    <col width="30" customWidth="1" min="17" max="17"/>
    <col width="30" customWidth="1" min="18" max="18"/>
    <col width="30" customWidth="1" min="19" max="19"/>
    <col width="30" customWidth="1" min="20" max="20"/>
    <col width="30" customWidth="1" min="21" max="21"/>
    <col width="30" customWidth="1" min="22" max="22"/>
    <col width="30" customWidth="1" min="23" max="23"/>
    <col width="30" customWidth="1" min="24" max="24"/>
    <col width="30" customWidth="1" min="25" max="25"/>
    <col width="30" customWidth="1" min="26" max="26"/>
    <col width="30" customWidth="1" min="27" max="27"/>
    <col width="30" customWidth="1" min="28" max="28"/>
    <col width="30" customWidth="1" min="29" max="29"/>
    <col width="30" customWidth="1" min="30" max="30"/>
    <col width="30" customWidth="1" min="31" max="31"/>
    <col width="30" customWidth="1" min="32" max="32"/>
    <col width="30" customWidth="1" min="33" max="33"/>
    <col width="30" customWidth="1" min="34" max="34"/>
    <col width="30" customWidth="1" min="35" max="35"/>
    <col width="30" customWidth="1" min="36" max="36"/>
    <col width="30" customWidth="1" min="37" max="37"/>
    <col width="30" customWidth="1" min="38" max="38"/>
    <col width="30" customWidth="1" min="39" max="39"/>
    <col width="10" customWidth="1" min="40" max="40"/>
    <col width="10" customWidth="1" min="41" max="41"/>
    <col width="10" customWidth="1" min="42" max="42"/>
    <col width="30" customWidth="1" min="43" max="43"/>
    <col width="30" customWidth="1" min="44" max="44"/>
    <col width="30" customWidth="1" min="45" max="45"/>
    <col width="30" customWidth="1" min="46" max="46"/>
    <col width="30" customWidth="1" min="47" max="47"/>
    <col width="30" customWidth="1" min="48" max="48"/>
    <col width="30" customWidth="1" min="49" max="49"/>
    <col width="30" customWidth="1" min="50" max="50"/>
    <col width="10" customWidth="1" min="51" max="51"/>
    <col width="10" customWidth="1" min="52" max="52"/>
  </cols>
  <sheetData>
    <row r="1" ht="24" customHeight="1">
      <c r="B1" s="405" t="inlineStr">
        <is>
          <t>PHYOX BioGenesis (NovaVersum GmbH) – Modellsteuerung (Helper Sheet)</t>
        </is>
      </c>
    </row>
    <row r="2" ht="15" customHeight="1">
      <c r="B2" s="406" t="inlineStr">
        <is>
          <t>Automatisch berechnete Periodenparameter | Referenziert Annahmen, CAPEX, OPEX</t>
        </is>
      </c>
    </row>
    <row r="3" ht="15" customHeight="1">
      <c r="B3" s="314" t="inlineStr">
        <is>
          <t>Parameter</t>
        </is>
      </c>
      <c r="C3" s="314" t="inlineStr">
        <is>
          <t>Ref</t>
        </is>
      </c>
      <c r="D3" s="314" t="inlineStr">
        <is>
          <t>M1 J1</t>
        </is>
      </c>
      <c r="E3" s="314" t="inlineStr">
        <is>
          <t>M2 J1</t>
        </is>
      </c>
      <c r="F3" s="314" t="inlineStr">
        <is>
          <t>M3 J1</t>
        </is>
      </c>
      <c r="G3" s="314" t="inlineStr">
        <is>
          <t>M4 J1</t>
        </is>
      </c>
      <c r="H3" s="314" t="inlineStr">
        <is>
          <t>M5 J1</t>
        </is>
      </c>
      <c r="I3" s="314" t="inlineStr">
        <is>
          <t>M6 J1</t>
        </is>
      </c>
      <c r="J3" s="314" t="inlineStr">
        <is>
          <t>M7 J1</t>
        </is>
      </c>
      <c r="K3" s="314" t="inlineStr">
        <is>
          <t>M8 J1</t>
        </is>
      </c>
      <c r="L3" s="314" t="inlineStr">
        <is>
          <t>M9 J1</t>
        </is>
      </c>
      <c r="M3" s="314" t="inlineStr">
        <is>
          <t>M10 J1</t>
        </is>
      </c>
      <c r="N3" s="314" t="inlineStr">
        <is>
          <t>M11 J1</t>
        </is>
      </c>
      <c r="O3" s="314" t="inlineStr">
        <is>
          <t>M12 J1</t>
        </is>
      </c>
      <c r="P3" s="314" t="inlineStr">
        <is>
          <t>M1 J2</t>
        </is>
      </c>
      <c r="Q3" s="314" t="inlineStr">
        <is>
          <t>M2 J2</t>
        </is>
      </c>
      <c r="R3" s="314" t="inlineStr">
        <is>
          <t>M3 J2</t>
        </is>
      </c>
      <c r="S3" s="314" t="inlineStr">
        <is>
          <t>M4 J2</t>
        </is>
      </c>
      <c r="T3" s="314" t="inlineStr">
        <is>
          <t>M5 J2</t>
        </is>
      </c>
      <c r="U3" s="314" t="inlineStr">
        <is>
          <t>M6 J2</t>
        </is>
      </c>
      <c r="V3" s="314" t="inlineStr">
        <is>
          <t>M7 J2</t>
        </is>
      </c>
      <c r="W3" s="314" t="inlineStr">
        <is>
          <t>M8 J2</t>
        </is>
      </c>
      <c r="X3" s="314" t="inlineStr">
        <is>
          <t>M9 J2</t>
        </is>
      </c>
      <c r="Y3" s="314" t="inlineStr">
        <is>
          <t>M10 J2</t>
        </is>
      </c>
      <c r="Z3" s="314" t="inlineStr">
        <is>
          <t>M11 J2</t>
        </is>
      </c>
      <c r="AA3" s="314" t="inlineStr">
        <is>
          <t>M12 J2</t>
        </is>
      </c>
      <c r="AB3" s="314" t="inlineStr">
        <is>
          <t>M1 J3</t>
        </is>
      </c>
      <c r="AC3" s="314" t="inlineStr">
        <is>
          <t>M2 J3</t>
        </is>
      </c>
      <c r="AD3" s="314" t="inlineStr">
        <is>
          <t>M3 J3</t>
        </is>
      </c>
      <c r="AE3" s="314" t="inlineStr">
        <is>
          <t>M4 J3</t>
        </is>
      </c>
      <c r="AF3" s="314" t="inlineStr">
        <is>
          <t>M5 J3</t>
        </is>
      </c>
      <c r="AG3" s="314" t="inlineStr">
        <is>
          <t>M6 J3</t>
        </is>
      </c>
      <c r="AH3" s="314" t="inlineStr">
        <is>
          <t>M7 J3</t>
        </is>
      </c>
      <c r="AI3" s="314" t="inlineStr">
        <is>
          <t>M8 J3</t>
        </is>
      </c>
      <c r="AJ3" s="314" t="inlineStr">
        <is>
          <t>M9 J3</t>
        </is>
      </c>
      <c r="AK3" s="314" t="inlineStr">
        <is>
          <t>M10 J3</t>
        </is>
      </c>
      <c r="AL3" s="314" t="inlineStr">
        <is>
          <t>M11 J3</t>
        </is>
      </c>
      <c r="AM3" s="314" t="inlineStr">
        <is>
          <t>M12 J3</t>
        </is>
      </c>
      <c r="AN3" s="314" t="inlineStr">
        <is>
          <t>JAHR 1</t>
        </is>
      </c>
      <c r="AO3" s="314" t="inlineStr">
        <is>
          <t>JAHR 2</t>
        </is>
      </c>
      <c r="AP3" s="314" t="inlineStr">
        <is>
          <t>JAHR 3</t>
        </is>
      </c>
      <c r="AQ3" s="314" t="inlineStr">
        <is>
          <t>Q1 J4</t>
        </is>
      </c>
      <c r="AR3" s="314" t="inlineStr">
        <is>
          <t>Q2 J4</t>
        </is>
      </c>
      <c r="AS3" s="314" t="inlineStr">
        <is>
          <t>Q3 J4</t>
        </is>
      </c>
      <c r="AT3" s="314" t="inlineStr">
        <is>
          <t>Q4 J4</t>
        </is>
      </c>
      <c r="AU3" s="314" t="inlineStr">
        <is>
          <t>Q1 J5</t>
        </is>
      </c>
      <c r="AV3" s="314" t="inlineStr">
        <is>
          <t>Q2 J5</t>
        </is>
      </c>
      <c r="AW3" s="314" t="inlineStr">
        <is>
          <t>Q3 J5</t>
        </is>
      </c>
      <c r="AX3" s="314" t="inlineStr">
        <is>
          <t>Q4 J5</t>
        </is>
      </c>
      <c r="AY3" s="314" t="inlineStr">
        <is>
          <t>JAHR 4</t>
        </is>
      </c>
      <c r="AZ3" s="314" t="inlineStr">
        <is>
          <t>JAHR 5</t>
        </is>
      </c>
    </row>
    <row r="4" ht="15" customHeight="1">
      <c r="B4" s="406" t="inlineStr">
        <is>
          <t>Jahr</t>
        </is>
      </c>
      <c r="D4" s="411" t="n">
        <v>1</v>
      </c>
      <c r="E4" s="411" t="n">
        <v>1</v>
      </c>
      <c r="F4" s="411" t="n">
        <v>1</v>
      </c>
      <c r="G4" s="411" t="n">
        <v>1</v>
      </c>
      <c r="H4" s="411" t="n">
        <v>1</v>
      </c>
      <c r="I4" s="411" t="n">
        <v>1</v>
      </c>
      <c r="J4" s="411" t="n">
        <v>1</v>
      </c>
      <c r="K4" s="411" t="n">
        <v>1</v>
      </c>
      <c r="L4" s="411" t="n">
        <v>1</v>
      </c>
      <c r="M4" s="411" t="n">
        <v>1</v>
      </c>
      <c r="N4" s="411" t="n">
        <v>1</v>
      </c>
      <c r="O4" s="411" t="n">
        <v>1</v>
      </c>
      <c r="P4" s="411" t="n">
        <v>2</v>
      </c>
      <c r="Q4" s="411" t="n">
        <v>2</v>
      </c>
      <c r="R4" s="411" t="n">
        <v>2</v>
      </c>
      <c r="S4" s="411" t="n">
        <v>2</v>
      </c>
      <c r="T4" s="411" t="n">
        <v>2</v>
      </c>
      <c r="U4" s="411" t="n">
        <v>2</v>
      </c>
      <c r="V4" s="411" t="n">
        <v>2</v>
      </c>
      <c r="W4" s="411" t="n">
        <v>2</v>
      </c>
      <c r="X4" s="411" t="n">
        <v>2</v>
      </c>
      <c r="Y4" s="411" t="n">
        <v>2</v>
      </c>
      <c r="Z4" s="411" t="n">
        <v>2</v>
      </c>
      <c r="AA4" s="411" t="n">
        <v>2</v>
      </c>
      <c r="AB4" s="411" t="n">
        <v>3</v>
      </c>
      <c r="AC4" s="411" t="n">
        <v>3</v>
      </c>
      <c r="AD4" s="411" t="n">
        <v>3</v>
      </c>
      <c r="AE4" s="411" t="n">
        <v>3</v>
      </c>
      <c r="AF4" s="411" t="n">
        <v>3</v>
      </c>
      <c r="AG4" s="411" t="n">
        <v>3</v>
      </c>
      <c r="AH4" s="411" t="n">
        <v>3</v>
      </c>
      <c r="AI4" s="411" t="n">
        <v>3</v>
      </c>
      <c r="AJ4" s="411" t="n">
        <v>3</v>
      </c>
      <c r="AK4" s="411" t="n">
        <v>3</v>
      </c>
      <c r="AL4" s="411" t="n">
        <v>3</v>
      </c>
      <c r="AM4" s="411" t="n">
        <v>3</v>
      </c>
      <c r="AQ4" s="411" t="n">
        <v>4</v>
      </c>
      <c r="AR4" s="411" t="n">
        <v>4</v>
      </c>
      <c r="AS4" s="411" t="n">
        <v>4</v>
      </c>
      <c r="AT4" s="411" t="n">
        <v>4</v>
      </c>
      <c r="AU4" s="411" t="n">
        <v>5</v>
      </c>
      <c r="AV4" s="411" t="n">
        <v>5</v>
      </c>
      <c r="AW4" s="411" t="n">
        <v>5</v>
      </c>
      <c r="AX4" s="411" t="n">
        <v>5</v>
      </c>
    </row>
    <row r="5" ht="15" customHeight="1">
      <c r="B5" s="314" t="inlineStr">
        <is>
          <t>Ramp-up Faktor</t>
        </is>
      </c>
      <c r="C5" s="314" t="inlineStr">
        <is>
          <t>Annahmen 13</t>
        </is>
      </c>
      <c r="D5" s="404">
        <f>Annahmen!$C$194</f>
        <v/>
      </c>
      <c r="E5" s="404">
        <f>Annahmen!$C$195</f>
        <v/>
      </c>
      <c r="F5" s="404">
        <f>Annahmen!$C$196</f>
        <v/>
      </c>
      <c r="G5" s="404">
        <f>Annahmen!$C$197</f>
        <v/>
      </c>
      <c r="H5" s="404">
        <f>Annahmen!$C$198</f>
        <v/>
      </c>
      <c r="I5" s="404">
        <f>Annahmen!$C$199</f>
        <v/>
      </c>
      <c r="J5" s="404">
        <f>Annahmen!$C$200</f>
        <v/>
      </c>
      <c r="K5" s="404">
        <f>Annahmen!$C$201</f>
        <v/>
      </c>
      <c r="L5" s="404">
        <f>Annahmen!$C$202</f>
        <v/>
      </c>
      <c r="M5" s="404">
        <f>Annahmen!$C$203</f>
        <v/>
      </c>
      <c r="N5" s="404">
        <f>Annahmen!$C$204</f>
        <v/>
      </c>
      <c r="O5" s="404">
        <f>Annahmen!$C$205</f>
        <v/>
      </c>
      <c r="P5" s="404">
        <f>Annahmen!$C$207</f>
        <v/>
      </c>
      <c r="Q5" s="404">
        <f>Annahmen!$C$207</f>
        <v/>
      </c>
      <c r="R5" s="404">
        <f>Annahmen!$C$207</f>
        <v/>
      </c>
      <c r="S5" s="404">
        <f>Annahmen!$C$208</f>
        <v/>
      </c>
      <c r="T5" s="404">
        <f>Annahmen!$C$208</f>
        <v/>
      </c>
      <c r="U5" s="404">
        <f>Annahmen!$C$208</f>
        <v/>
      </c>
      <c r="V5" s="404">
        <f>Annahmen!$C$208</f>
        <v/>
      </c>
      <c r="W5" s="404">
        <f>Annahmen!$C$208</f>
        <v/>
      </c>
      <c r="X5" s="404">
        <f>Annahmen!$C$208</f>
        <v/>
      </c>
      <c r="Y5" s="404">
        <f>Annahmen!$C$208</f>
        <v/>
      </c>
      <c r="Z5" s="404">
        <f>Annahmen!$C$208</f>
        <v/>
      </c>
      <c r="AA5" s="404">
        <f>Annahmen!$C$208</f>
        <v/>
      </c>
      <c r="AB5" s="329" t="n">
        <v>1</v>
      </c>
      <c r="AC5" s="329" t="n">
        <v>1</v>
      </c>
      <c r="AD5" s="329" t="n">
        <v>1</v>
      </c>
      <c r="AE5" s="329" t="n">
        <v>1</v>
      </c>
      <c r="AF5" s="329" t="n">
        <v>1</v>
      </c>
      <c r="AG5" s="329" t="n">
        <v>1</v>
      </c>
      <c r="AH5" s="329" t="n">
        <v>1</v>
      </c>
      <c r="AI5" s="329" t="n">
        <v>1</v>
      </c>
      <c r="AJ5" s="329" t="n">
        <v>1</v>
      </c>
      <c r="AK5" s="329" t="n">
        <v>1</v>
      </c>
      <c r="AL5" s="329" t="n">
        <v>1</v>
      </c>
      <c r="AM5" s="329" t="n">
        <v>1</v>
      </c>
      <c r="AQ5" s="329" t="n">
        <v>1</v>
      </c>
      <c r="AR5" s="329" t="n">
        <v>1</v>
      </c>
      <c r="AS5" s="329" t="n">
        <v>1</v>
      </c>
      <c r="AT5" s="329" t="n">
        <v>1</v>
      </c>
      <c r="AU5" s="329" t="n">
        <v>1</v>
      </c>
      <c r="AV5" s="329" t="n">
        <v>1</v>
      </c>
      <c r="AW5" s="329" t="n">
        <v>1</v>
      </c>
      <c r="AX5" s="329" t="n">
        <v>1</v>
      </c>
    </row>
    <row r="6" ht="15" customHeight="1">
      <c r="B6" s="406" t="inlineStr">
        <is>
          <t>Biomassedichte (g/L)</t>
        </is>
      </c>
      <c r="C6" s="406" t="inlineStr">
        <is>
          <t>Annahmen C104+C110</t>
        </is>
      </c>
      <c r="D6" s="422">
        <f>Annahmen!$C$104+(D4-1)*Annahmen!$C$110</f>
        <v/>
      </c>
      <c r="E6" s="422">
        <f>Annahmen!$C$104+(E4-1)*Annahmen!$C$110</f>
        <v/>
      </c>
      <c r="F6" s="422">
        <f>Annahmen!$C$104+(F4-1)*Annahmen!$C$110</f>
        <v/>
      </c>
      <c r="G6" s="422">
        <f>Annahmen!$C$104+(G4-1)*Annahmen!$C$110</f>
        <v/>
      </c>
      <c r="H6" s="422">
        <f>Annahmen!$C$104+(H4-1)*Annahmen!$C$110</f>
        <v/>
      </c>
      <c r="I6" s="422">
        <f>Annahmen!$C$104+(I4-1)*Annahmen!$C$110</f>
        <v/>
      </c>
      <c r="J6" s="422">
        <f>Annahmen!$C$104+(J4-1)*Annahmen!$C$110</f>
        <v/>
      </c>
      <c r="K6" s="422">
        <f>Annahmen!$C$104+(K4-1)*Annahmen!$C$110</f>
        <v/>
      </c>
      <c r="L6" s="422">
        <f>Annahmen!$C$104+(L4-1)*Annahmen!$C$110</f>
        <v/>
      </c>
      <c r="M6" s="422">
        <f>Annahmen!$C$104+(M4-1)*Annahmen!$C$110</f>
        <v/>
      </c>
      <c r="N6" s="422">
        <f>Annahmen!$C$104+(N4-1)*Annahmen!$C$110</f>
        <v/>
      </c>
      <c r="O6" s="422">
        <f>Annahmen!$C$104+(O4-1)*Annahmen!$C$110</f>
        <v/>
      </c>
      <c r="P6" s="422">
        <f>Annahmen!$C$104+(P4-1)*Annahmen!$C$110</f>
        <v/>
      </c>
      <c r="Q6" s="422">
        <f>Annahmen!$C$104+(Q4-1)*Annahmen!$C$110</f>
        <v/>
      </c>
      <c r="R6" s="422">
        <f>Annahmen!$C$104+(R4-1)*Annahmen!$C$110</f>
        <v/>
      </c>
      <c r="S6" s="422">
        <f>Annahmen!$C$104+(S4-1)*Annahmen!$C$110</f>
        <v/>
      </c>
      <c r="T6" s="422">
        <f>Annahmen!$C$104+(T4-1)*Annahmen!$C$110</f>
        <v/>
      </c>
      <c r="U6" s="422">
        <f>Annahmen!$C$104+(U4-1)*Annahmen!$C$110</f>
        <v/>
      </c>
      <c r="V6" s="422">
        <f>Annahmen!$C$104+(V4-1)*Annahmen!$C$110</f>
        <v/>
      </c>
      <c r="W6" s="422">
        <f>Annahmen!$C$104+(W4-1)*Annahmen!$C$110</f>
        <v/>
      </c>
      <c r="X6" s="422">
        <f>Annahmen!$C$104+(X4-1)*Annahmen!$C$110</f>
        <v/>
      </c>
      <c r="Y6" s="422">
        <f>Annahmen!$C$104+(Y4-1)*Annahmen!$C$110</f>
        <v/>
      </c>
      <c r="Z6" s="422">
        <f>Annahmen!$C$104+(Z4-1)*Annahmen!$C$110</f>
        <v/>
      </c>
      <c r="AA6" s="422">
        <f>Annahmen!$C$104+(AA4-1)*Annahmen!$C$110</f>
        <v/>
      </c>
      <c r="AB6" s="422">
        <f>Annahmen!$C$104+(AB4-1)*Annahmen!$C$110</f>
        <v/>
      </c>
      <c r="AC6" s="422">
        <f>Annahmen!$C$104+(AC4-1)*Annahmen!$C$110</f>
        <v/>
      </c>
      <c r="AD6" s="422">
        <f>Annahmen!$C$104+(AD4-1)*Annahmen!$C$110</f>
        <v/>
      </c>
      <c r="AE6" s="422">
        <f>Annahmen!$C$104+(AE4-1)*Annahmen!$C$110</f>
        <v/>
      </c>
      <c r="AF6" s="422">
        <f>Annahmen!$C$104+(AF4-1)*Annahmen!$C$110</f>
        <v/>
      </c>
      <c r="AG6" s="422">
        <f>Annahmen!$C$104+(AG4-1)*Annahmen!$C$110</f>
        <v/>
      </c>
      <c r="AH6" s="422">
        <f>Annahmen!$C$104+(AH4-1)*Annahmen!$C$110</f>
        <v/>
      </c>
      <c r="AI6" s="422">
        <f>Annahmen!$C$104+(AI4-1)*Annahmen!$C$110</f>
        <v/>
      </c>
      <c r="AJ6" s="422">
        <f>Annahmen!$C$104+(AJ4-1)*Annahmen!$C$110</f>
        <v/>
      </c>
      <c r="AK6" s="422">
        <f>Annahmen!$C$104+(AK4-1)*Annahmen!$C$110</f>
        <v/>
      </c>
      <c r="AL6" s="422">
        <f>Annahmen!$C$104+(AL4-1)*Annahmen!$C$110</f>
        <v/>
      </c>
      <c r="AM6" s="422">
        <f>Annahmen!$C$104+(AM4-1)*Annahmen!$C$110</f>
        <v/>
      </c>
      <c r="AQ6" s="422">
        <f>Annahmen!$C$104+(AQ4-1)*Annahmen!$C$110</f>
        <v/>
      </c>
      <c r="AR6" s="422">
        <f>Annahmen!$C$104+(AR4-1)*Annahmen!$C$110</f>
        <v/>
      </c>
      <c r="AS6" s="422">
        <f>Annahmen!$C$104+(AS4-1)*Annahmen!$C$110</f>
        <v/>
      </c>
      <c r="AT6" s="422">
        <f>Annahmen!$C$104+(AT4-1)*Annahmen!$C$110</f>
        <v/>
      </c>
      <c r="AU6" s="422">
        <f>Annahmen!$C$104+(AU4-1)*Annahmen!$C$110</f>
        <v/>
      </c>
      <c r="AV6" s="422">
        <f>Annahmen!$C$104+(AV4-1)*Annahmen!$C$110</f>
        <v/>
      </c>
      <c r="AW6" s="422">
        <f>Annahmen!$C$104+(AW4-1)*Annahmen!$C$110</f>
        <v/>
      </c>
      <c r="AX6" s="422">
        <f>Annahmen!$C$104+(AX4-1)*Annahmen!$C$110</f>
        <v/>
      </c>
    </row>
    <row r="7" ht="15" customHeight="1">
      <c r="B7" s="314" t="inlineStr">
        <is>
          <t>Jahreskapazität (kg)</t>
        </is>
      </c>
      <c r="C7" s="314" t="inlineStr">
        <is>
          <t>Bio×Vol×Tage/1000</t>
        </is>
      </c>
      <c r="D7" s="323">
        <f>D6*Annahmen!$C$8*Annahmen!$C$14/1000</f>
        <v/>
      </c>
      <c r="E7" s="323">
        <f>E6*Annahmen!$C$8*Annahmen!$C$14/1000</f>
        <v/>
      </c>
      <c r="F7" s="323">
        <f>F6*Annahmen!$C$8*Annahmen!$C$14/1000</f>
        <v/>
      </c>
      <c r="G7" s="323">
        <f>G6*Annahmen!$C$8*Annahmen!$C$14/1000</f>
        <v/>
      </c>
      <c r="H7" s="323">
        <f>H6*Annahmen!$C$8*Annahmen!$C$14/1000</f>
        <v/>
      </c>
      <c r="I7" s="323">
        <f>I6*Annahmen!$C$8*Annahmen!$C$14/1000</f>
        <v/>
      </c>
      <c r="J7" s="323">
        <f>J6*Annahmen!$C$8*Annahmen!$C$14/1000</f>
        <v/>
      </c>
      <c r="K7" s="323">
        <f>K6*Annahmen!$C$8*Annahmen!$C$14/1000</f>
        <v/>
      </c>
      <c r="L7" s="323">
        <f>L6*Annahmen!$C$8*Annahmen!$C$14/1000</f>
        <v/>
      </c>
      <c r="M7" s="323">
        <f>M6*Annahmen!$C$8*Annahmen!$C$14/1000</f>
        <v/>
      </c>
      <c r="N7" s="323">
        <f>N6*Annahmen!$C$8*Annahmen!$C$14/1000</f>
        <v/>
      </c>
      <c r="O7" s="323">
        <f>O6*Annahmen!$C$8*Annahmen!$C$14/1000</f>
        <v/>
      </c>
      <c r="P7" s="323">
        <f>P6*Annahmen!$C$8*Annahmen!$C$14/1000</f>
        <v/>
      </c>
      <c r="Q7" s="323">
        <f>Q6*Annahmen!$C$8*Annahmen!$C$14/1000</f>
        <v/>
      </c>
      <c r="R7" s="323">
        <f>R6*Annahmen!$C$8*Annahmen!$C$14/1000</f>
        <v/>
      </c>
      <c r="S7" s="323">
        <f>S6*Annahmen!$C$8*Annahmen!$C$14/1000</f>
        <v/>
      </c>
      <c r="T7" s="323">
        <f>T6*Annahmen!$C$8*Annahmen!$C$14/1000</f>
        <v/>
      </c>
      <c r="U7" s="323">
        <f>U6*Annahmen!$C$8*Annahmen!$C$14/1000</f>
        <v/>
      </c>
      <c r="V7" s="323">
        <f>V6*Annahmen!$C$8*Annahmen!$C$14/1000</f>
        <v/>
      </c>
      <c r="W7" s="323">
        <f>W6*Annahmen!$C$8*Annahmen!$C$14/1000</f>
        <v/>
      </c>
      <c r="X7" s="323">
        <f>X6*Annahmen!$C$8*Annahmen!$C$14/1000</f>
        <v/>
      </c>
      <c r="Y7" s="323">
        <f>Y6*Annahmen!$C$8*Annahmen!$C$14/1000</f>
        <v/>
      </c>
      <c r="Z7" s="323">
        <f>Z6*Annahmen!$C$8*Annahmen!$C$14/1000</f>
        <v/>
      </c>
      <c r="AA7" s="323">
        <f>AA6*Annahmen!$C$8*Annahmen!$C$14/1000</f>
        <v/>
      </c>
      <c r="AB7" s="323">
        <f>AB6*Annahmen!$C$8*Annahmen!$C$14/1000</f>
        <v/>
      </c>
      <c r="AC7" s="323">
        <f>AC6*Annahmen!$C$8*Annahmen!$C$14/1000</f>
        <v/>
      </c>
      <c r="AD7" s="323">
        <f>AD6*Annahmen!$C$8*Annahmen!$C$14/1000</f>
        <v/>
      </c>
      <c r="AE7" s="323">
        <f>AE6*Annahmen!$C$8*Annahmen!$C$14/1000</f>
        <v/>
      </c>
      <c r="AF7" s="323">
        <f>AF6*Annahmen!$C$8*Annahmen!$C$14/1000</f>
        <v/>
      </c>
      <c r="AG7" s="323">
        <f>AG6*Annahmen!$C$8*Annahmen!$C$14/1000</f>
        <v/>
      </c>
      <c r="AH7" s="323">
        <f>AH6*Annahmen!$C$8*Annahmen!$C$14/1000</f>
        <v/>
      </c>
      <c r="AI7" s="323">
        <f>AI6*Annahmen!$C$8*Annahmen!$C$14/1000</f>
        <v/>
      </c>
      <c r="AJ7" s="323">
        <f>AJ6*Annahmen!$C$8*Annahmen!$C$14/1000</f>
        <v/>
      </c>
      <c r="AK7" s="323">
        <f>AK6*Annahmen!$C$8*Annahmen!$C$14/1000</f>
        <v/>
      </c>
      <c r="AL7" s="323">
        <f>AL6*Annahmen!$C$8*Annahmen!$C$14/1000</f>
        <v/>
      </c>
      <c r="AM7" s="323">
        <f>AM6*Annahmen!$C$8*Annahmen!$C$14/1000</f>
        <v/>
      </c>
      <c r="AQ7" s="323">
        <f>AQ6*Annahmen!$C$8*Annahmen!$C$14/1000</f>
        <v/>
      </c>
      <c r="AR7" s="323">
        <f>AR6*Annahmen!$C$8*Annahmen!$C$14/1000</f>
        <v/>
      </c>
      <c r="AS7" s="323">
        <f>AS6*Annahmen!$C$8*Annahmen!$C$14/1000</f>
        <v/>
      </c>
      <c r="AT7" s="323">
        <f>AT6*Annahmen!$C$8*Annahmen!$C$14/1000</f>
        <v/>
      </c>
      <c r="AU7" s="323">
        <f>AU6*Annahmen!$C$8*Annahmen!$C$14/1000</f>
        <v/>
      </c>
      <c r="AV7" s="323">
        <f>AV6*Annahmen!$C$8*Annahmen!$C$14/1000</f>
        <v/>
      </c>
      <c r="AW7" s="323">
        <f>AW6*Annahmen!$C$8*Annahmen!$C$14/1000</f>
        <v/>
      </c>
      <c r="AX7" s="323">
        <f>AX6*Annahmen!$C$8*Annahmen!$C$14/1000</f>
        <v/>
      </c>
    </row>
    <row r="8" ht="15" customHeight="1">
      <c r="B8" s="406" t="inlineStr">
        <is>
          <t>Periodenproduktion (kg)</t>
        </is>
      </c>
      <c r="C8" s="406" t="inlineStr">
        <is>
          <t>Kapaz/Perioden×Ramp</t>
        </is>
      </c>
      <c r="D8" s="418">
        <f>D7*Annahmen!$C$10/12*D5</f>
        <v/>
      </c>
      <c r="E8" s="418">
        <f>E7*Annahmen!$C$10/12*E5</f>
        <v/>
      </c>
      <c r="F8" s="418">
        <f>F7*Annahmen!$C$10/12*F5</f>
        <v/>
      </c>
      <c r="G8" s="418">
        <f>G7*Annahmen!$C$10/12*G5</f>
        <v/>
      </c>
      <c r="H8" s="418">
        <f>H7*Annahmen!$C$10/12*H5</f>
        <v/>
      </c>
      <c r="I8" s="418">
        <f>I7*Annahmen!$C$10/12*I5</f>
        <v/>
      </c>
      <c r="J8" s="418">
        <f>J7*Annahmen!$C$10/12*J5</f>
        <v/>
      </c>
      <c r="K8" s="418">
        <f>K7*Annahmen!$C$10/12*K5</f>
        <v/>
      </c>
      <c r="L8" s="418">
        <f>L7*Annahmen!$C$10/12*L5</f>
        <v/>
      </c>
      <c r="M8" s="418">
        <f>M7*Annahmen!$C$10/12*M5</f>
        <v/>
      </c>
      <c r="N8" s="418">
        <f>N7*Annahmen!$C$10/12*N5</f>
        <v/>
      </c>
      <c r="O8" s="418">
        <f>O7*Annahmen!$C$10/12*O5</f>
        <v/>
      </c>
      <c r="P8" s="418">
        <f>P7*Annahmen!$C$10/12*P5</f>
        <v/>
      </c>
      <c r="Q8" s="418">
        <f>Q7*Annahmen!$C$10/12*Q5</f>
        <v/>
      </c>
      <c r="R8" s="418">
        <f>R7*Annahmen!$C$10/12*R5</f>
        <v/>
      </c>
      <c r="S8" s="418">
        <f>S7*Annahmen!$C$10/12*S5</f>
        <v/>
      </c>
      <c r="T8" s="418">
        <f>T7*Annahmen!$C$10/12*T5</f>
        <v/>
      </c>
      <c r="U8" s="418">
        <f>U7*Annahmen!$C$10/12*U5</f>
        <v/>
      </c>
      <c r="V8" s="418">
        <f>V7*Annahmen!$C$10/12*V5</f>
        <v/>
      </c>
      <c r="W8" s="418">
        <f>W7*Annahmen!$C$10/12*W5</f>
        <v/>
      </c>
      <c r="X8" s="418">
        <f>X7*Annahmen!$C$10/12*X5</f>
        <v/>
      </c>
      <c r="Y8" s="418">
        <f>Y7*Annahmen!$C$10/12*Y5</f>
        <v/>
      </c>
      <c r="Z8" s="418">
        <f>Z7*Annahmen!$C$10/12*Z5</f>
        <v/>
      </c>
      <c r="AA8" s="418">
        <f>AA7*Annahmen!$C$10/12*AA5</f>
        <v/>
      </c>
      <c r="AB8" s="418">
        <f>AB7*Annahmen!$C$10/12*AB5</f>
        <v/>
      </c>
      <c r="AC8" s="418">
        <f>AC7*Annahmen!$C$10/12*AC5</f>
        <v/>
      </c>
      <c r="AD8" s="418">
        <f>AD7*Annahmen!$C$10/12*AD5</f>
        <v/>
      </c>
      <c r="AE8" s="418">
        <f>AE7*Annahmen!$C$10/12*AE5</f>
        <v/>
      </c>
      <c r="AF8" s="418">
        <f>AF7*Annahmen!$C$10/12*AF5</f>
        <v/>
      </c>
      <c r="AG8" s="418">
        <f>AG7*Annahmen!$C$10/12*AG5</f>
        <v/>
      </c>
      <c r="AH8" s="418">
        <f>AH7*Annahmen!$C$10/12*AH5</f>
        <v/>
      </c>
      <c r="AI8" s="418">
        <f>AI7*Annahmen!$C$10/12*AI5</f>
        <v/>
      </c>
      <c r="AJ8" s="418">
        <f>AJ7*Annahmen!$C$10/12*AJ5</f>
        <v/>
      </c>
      <c r="AK8" s="418">
        <f>AK7*Annahmen!$C$10/12*AK5</f>
        <v/>
      </c>
      <c r="AL8" s="418">
        <f>AL7*Annahmen!$C$10/12*AL5</f>
        <v/>
      </c>
      <c r="AM8" s="418">
        <f>AM7*Annahmen!$C$10/12*AM5</f>
        <v/>
      </c>
      <c r="AQ8" s="418">
        <f>AQ7*Annahmen!$C$10/4*AQ5</f>
        <v/>
      </c>
      <c r="AR8" s="418">
        <f>AR7*Annahmen!$C$10/4*AR5</f>
        <v/>
      </c>
      <c r="AS8" s="418">
        <f>AS7*Annahmen!$C$10/4*AS5</f>
        <v/>
      </c>
      <c r="AT8" s="418">
        <f>AT7*Annahmen!$C$10/4*AT5</f>
        <v/>
      </c>
      <c r="AU8" s="418">
        <f>AU7*Annahmen!$C$10/4*AU5</f>
        <v/>
      </c>
      <c r="AV8" s="418">
        <f>AV7*Annahmen!$C$10/4*AV5</f>
        <v/>
      </c>
      <c r="AW8" s="418">
        <f>AW7*Annahmen!$C$10/4*AW5</f>
        <v/>
      </c>
      <c r="AX8" s="418">
        <f>AX7*Annahmen!$C$10/4*AX5</f>
        <v/>
      </c>
    </row>
    <row r="9" ht="15" customHeight="1">
      <c r="B9" s="314" t="inlineStr">
        <is>
          <t>B2B Bulk Preis (€/kg)</t>
        </is>
      </c>
      <c r="C9" s="314" t="inlineStr">
        <is>
          <t>Annahmen C64</t>
        </is>
      </c>
      <c r="D9" s="351">
        <f>Annahmen!$C$64*(1+Annahmen!$C$67)^(D4-1)</f>
        <v/>
      </c>
      <c r="E9" s="351">
        <f>Annahmen!$C$64*(1+Annahmen!$C$67)^(E4-1)</f>
        <v/>
      </c>
      <c r="F9" s="351">
        <f>Annahmen!$C$64*(1+Annahmen!$C$67)^(F4-1)</f>
        <v/>
      </c>
      <c r="G9" s="351">
        <f>Annahmen!$C$64*(1+Annahmen!$C$67)^(G4-1)</f>
        <v/>
      </c>
      <c r="H9" s="351">
        <f>Annahmen!$C$64*(1+Annahmen!$C$67)^(H4-1)</f>
        <v/>
      </c>
      <c r="I9" s="351">
        <f>Annahmen!$C$64*(1+Annahmen!$C$67)^(I4-1)</f>
        <v/>
      </c>
      <c r="J9" s="351">
        <f>Annahmen!$C$64*(1+Annahmen!$C$67)^(J4-1)</f>
        <v/>
      </c>
      <c r="K9" s="351">
        <f>Annahmen!$C$64*(1+Annahmen!$C$67)^(K4-1)</f>
        <v/>
      </c>
      <c r="L9" s="351">
        <f>Annahmen!$C$64*(1+Annahmen!$C$67)^(L4-1)</f>
        <v/>
      </c>
      <c r="M9" s="351">
        <f>Annahmen!$C$64*(1+Annahmen!$C$67)^(M4-1)</f>
        <v/>
      </c>
      <c r="N9" s="351">
        <f>Annahmen!$C$64*(1+Annahmen!$C$67)^(N4-1)</f>
        <v/>
      </c>
      <c r="O9" s="351">
        <f>Annahmen!$C$64*(1+Annahmen!$C$67)^(O4-1)</f>
        <v/>
      </c>
      <c r="P9" s="351">
        <f>Annahmen!$C$64*(1+Annahmen!$C$67)^(P4-1)</f>
        <v/>
      </c>
      <c r="Q9" s="351">
        <f>Annahmen!$C$64*(1+Annahmen!$C$67)^(Q4-1)</f>
        <v/>
      </c>
      <c r="R9" s="351">
        <f>Annahmen!$C$64*(1+Annahmen!$C$67)^(R4-1)</f>
        <v/>
      </c>
      <c r="S9" s="351">
        <f>Annahmen!$C$64*(1+Annahmen!$C$67)^(S4-1)</f>
        <v/>
      </c>
      <c r="T9" s="351">
        <f>Annahmen!$C$64*(1+Annahmen!$C$67)^(T4-1)</f>
        <v/>
      </c>
      <c r="U9" s="351">
        <f>Annahmen!$C$64*(1+Annahmen!$C$67)^(U4-1)</f>
        <v/>
      </c>
      <c r="V9" s="351">
        <f>Annahmen!$C$64*(1+Annahmen!$C$67)^(V4-1)</f>
        <v/>
      </c>
      <c r="W9" s="351">
        <f>Annahmen!$C$64*(1+Annahmen!$C$67)^(W4-1)</f>
        <v/>
      </c>
      <c r="X9" s="351">
        <f>Annahmen!$C$64*(1+Annahmen!$C$67)^(X4-1)</f>
        <v/>
      </c>
      <c r="Y9" s="351">
        <f>Annahmen!$C$64*(1+Annahmen!$C$67)^(Y4-1)</f>
        <v/>
      </c>
      <c r="Z9" s="351">
        <f>Annahmen!$C$64*(1+Annahmen!$C$67)^(Z4-1)</f>
        <v/>
      </c>
      <c r="AA9" s="351">
        <f>Annahmen!$C$64*(1+Annahmen!$C$67)^(AA4-1)</f>
        <v/>
      </c>
      <c r="AB9" s="351">
        <f>Annahmen!$C$64*(1+Annahmen!$C$67)^(AB4-1)</f>
        <v/>
      </c>
      <c r="AC9" s="351">
        <f>Annahmen!$C$64*(1+Annahmen!$C$67)^(AC4-1)</f>
        <v/>
      </c>
      <c r="AD9" s="351">
        <f>Annahmen!$C$64*(1+Annahmen!$C$67)^(AD4-1)</f>
        <v/>
      </c>
      <c r="AE9" s="351">
        <f>Annahmen!$C$64*(1+Annahmen!$C$67)^(AE4-1)</f>
        <v/>
      </c>
      <c r="AF9" s="351">
        <f>Annahmen!$C$64*(1+Annahmen!$C$67)^(AF4-1)</f>
        <v/>
      </c>
      <c r="AG9" s="351">
        <f>Annahmen!$C$64*(1+Annahmen!$C$67)^(AG4-1)</f>
        <v/>
      </c>
      <c r="AH9" s="351">
        <f>Annahmen!$C$64*(1+Annahmen!$C$67)^(AH4-1)</f>
        <v/>
      </c>
      <c r="AI9" s="351">
        <f>Annahmen!$C$64*(1+Annahmen!$C$67)^(AI4-1)</f>
        <v/>
      </c>
      <c r="AJ9" s="351">
        <f>Annahmen!$C$64*(1+Annahmen!$C$67)^(AJ4-1)</f>
        <v/>
      </c>
      <c r="AK9" s="351">
        <f>Annahmen!$C$64*(1+Annahmen!$C$67)^(AK4-1)</f>
        <v/>
      </c>
      <c r="AL9" s="351">
        <f>Annahmen!$C$64*(1+Annahmen!$C$67)^(AL4-1)</f>
        <v/>
      </c>
      <c r="AM9" s="351">
        <f>Annahmen!$C$64*(1+Annahmen!$C$67)^(AM4-1)</f>
        <v/>
      </c>
      <c r="AQ9" s="351">
        <f>Annahmen!$C$64*(1+Annahmen!$C$67)^(AQ4-1)</f>
        <v/>
      </c>
      <c r="AR9" s="351">
        <f>Annahmen!$C$64*(1+Annahmen!$C$67)^(AR4-1)</f>
        <v/>
      </c>
      <c r="AS9" s="351">
        <f>Annahmen!$C$64*(1+Annahmen!$C$67)^(AS4-1)</f>
        <v/>
      </c>
      <c r="AT9" s="351">
        <f>Annahmen!$C$64*(1+Annahmen!$C$67)^(AT4-1)</f>
        <v/>
      </c>
      <c r="AU9" s="351">
        <f>Annahmen!$C$64*(1+Annahmen!$C$67)^(AU4-1)</f>
        <v/>
      </c>
      <c r="AV9" s="351">
        <f>Annahmen!$C$64*(1+Annahmen!$C$67)^(AV4-1)</f>
        <v/>
      </c>
      <c r="AW9" s="351">
        <f>Annahmen!$C$64*(1+Annahmen!$C$67)^(AW4-1)</f>
        <v/>
      </c>
      <c r="AX9" s="351">
        <f>Annahmen!$C$64*(1+Annahmen!$C$67)^(AX4-1)</f>
        <v/>
      </c>
    </row>
    <row r="10" ht="15" customHeight="1">
      <c r="B10" s="406" t="inlineStr">
        <is>
          <t>B2B Retail Preis (€/kg)</t>
        </is>
      </c>
      <c r="C10" s="406" t="inlineStr">
        <is>
          <t>Annahmen C127</t>
        </is>
      </c>
      <c r="D10" s="418">
        <f>Annahmen!$C$127*(1+Annahmen!$C$130)^(D4-1)</f>
        <v/>
      </c>
      <c r="E10" s="418">
        <f>Annahmen!$C$127*(1+Annahmen!$C$130)^(E4-1)</f>
        <v/>
      </c>
      <c r="F10" s="418">
        <f>Annahmen!$C$127*(1+Annahmen!$C$130)^(F4-1)</f>
        <v/>
      </c>
      <c r="G10" s="418">
        <f>Annahmen!$C$127*(1+Annahmen!$C$130)^(G4-1)</f>
        <v/>
      </c>
      <c r="H10" s="418">
        <f>Annahmen!$C$127*(1+Annahmen!$C$130)^(H4-1)</f>
        <v/>
      </c>
      <c r="I10" s="418">
        <f>Annahmen!$C$127*(1+Annahmen!$C$130)^(I4-1)</f>
        <v/>
      </c>
      <c r="J10" s="418">
        <f>Annahmen!$C$127*(1+Annahmen!$C$130)^(J4-1)</f>
        <v/>
      </c>
      <c r="K10" s="418">
        <f>Annahmen!$C$127*(1+Annahmen!$C$130)^(K4-1)</f>
        <v/>
      </c>
      <c r="L10" s="418">
        <f>Annahmen!$C$127*(1+Annahmen!$C$130)^(L4-1)</f>
        <v/>
      </c>
      <c r="M10" s="418">
        <f>Annahmen!$C$127*(1+Annahmen!$C$130)^(M4-1)</f>
        <v/>
      </c>
      <c r="N10" s="418">
        <f>Annahmen!$C$127*(1+Annahmen!$C$130)^(N4-1)</f>
        <v/>
      </c>
      <c r="O10" s="418">
        <f>Annahmen!$C$127*(1+Annahmen!$C$130)^(O4-1)</f>
        <v/>
      </c>
      <c r="P10" s="418">
        <f>Annahmen!$C$127*(1+Annahmen!$C$130)^(P4-1)</f>
        <v/>
      </c>
      <c r="Q10" s="418">
        <f>Annahmen!$C$127*(1+Annahmen!$C$130)^(Q4-1)</f>
        <v/>
      </c>
      <c r="R10" s="418">
        <f>Annahmen!$C$127*(1+Annahmen!$C$130)^(R4-1)</f>
        <v/>
      </c>
      <c r="S10" s="418">
        <f>Annahmen!$C$127*(1+Annahmen!$C$130)^(S4-1)</f>
        <v/>
      </c>
      <c r="T10" s="418">
        <f>Annahmen!$C$127*(1+Annahmen!$C$130)^(T4-1)</f>
        <v/>
      </c>
      <c r="U10" s="418">
        <f>Annahmen!$C$127*(1+Annahmen!$C$130)^(U4-1)</f>
        <v/>
      </c>
      <c r="V10" s="418">
        <f>Annahmen!$C$127*(1+Annahmen!$C$130)^(V4-1)</f>
        <v/>
      </c>
      <c r="W10" s="418">
        <f>Annahmen!$C$127*(1+Annahmen!$C$130)^(W4-1)</f>
        <v/>
      </c>
      <c r="X10" s="418">
        <f>Annahmen!$C$127*(1+Annahmen!$C$130)^(X4-1)</f>
        <v/>
      </c>
      <c r="Y10" s="418">
        <f>Annahmen!$C$127*(1+Annahmen!$C$130)^(Y4-1)</f>
        <v/>
      </c>
      <c r="Z10" s="418">
        <f>Annahmen!$C$127*(1+Annahmen!$C$130)^(Z4-1)</f>
        <v/>
      </c>
      <c r="AA10" s="418">
        <f>Annahmen!$C$127*(1+Annahmen!$C$130)^(AA4-1)</f>
        <v/>
      </c>
      <c r="AB10" s="418">
        <f>Annahmen!$C$127*(1+Annahmen!$C$130)^(AB4-1)</f>
        <v/>
      </c>
      <c r="AC10" s="418">
        <f>Annahmen!$C$127*(1+Annahmen!$C$130)^(AC4-1)</f>
        <v/>
      </c>
      <c r="AD10" s="418">
        <f>Annahmen!$C$127*(1+Annahmen!$C$130)^(AD4-1)</f>
        <v/>
      </c>
      <c r="AE10" s="418">
        <f>Annahmen!$C$127*(1+Annahmen!$C$130)^(AE4-1)</f>
        <v/>
      </c>
      <c r="AF10" s="418">
        <f>Annahmen!$C$127*(1+Annahmen!$C$130)^(AF4-1)</f>
        <v/>
      </c>
      <c r="AG10" s="418">
        <f>Annahmen!$C$127*(1+Annahmen!$C$130)^(AG4-1)</f>
        <v/>
      </c>
      <c r="AH10" s="418">
        <f>Annahmen!$C$127*(1+Annahmen!$C$130)^(AH4-1)</f>
        <v/>
      </c>
      <c r="AI10" s="418">
        <f>Annahmen!$C$127*(1+Annahmen!$C$130)^(AI4-1)</f>
        <v/>
      </c>
      <c r="AJ10" s="418">
        <f>Annahmen!$C$127*(1+Annahmen!$C$130)^(AJ4-1)</f>
        <v/>
      </c>
      <c r="AK10" s="418">
        <f>Annahmen!$C$127*(1+Annahmen!$C$130)^(AK4-1)</f>
        <v/>
      </c>
      <c r="AL10" s="418">
        <f>Annahmen!$C$127*(1+Annahmen!$C$130)^(AL4-1)</f>
        <v/>
      </c>
      <c r="AM10" s="418">
        <f>Annahmen!$C$127*(1+Annahmen!$C$130)^(AM4-1)</f>
        <v/>
      </c>
      <c r="AQ10" s="418">
        <f>Annahmen!$C$127*(1+Annahmen!$C$130)^(AQ4-1)</f>
        <v/>
      </c>
      <c r="AR10" s="418">
        <f>Annahmen!$C$127*(1+Annahmen!$C$130)^(AR4-1)</f>
        <v/>
      </c>
      <c r="AS10" s="418">
        <f>Annahmen!$C$127*(1+Annahmen!$C$130)^(AS4-1)</f>
        <v/>
      </c>
      <c r="AT10" s="418">
        <f>Annahmen!$C$127*(1+Annahmen!$C$130)^(AT4-1)</f>
        <v/>
      </c>
      <c r="AU10" s="418">
        <f>Annahmen!$C$127*(1+Annahmen!$C$130)^(AU4-1)</f>
        <v/>
      </c>
      <c r="AV10" s="418">
        <f>Annahmen!$C$127*(1+Annahmen!$C$130)^(AV4-1)</f>
        <v/>
      </c>
      <c r="AW10" s="418">
        <f>Annahmen!$C$127*(1+Annahmen!$C$130)^(AW4-1)</f>
        <v/>
      </c>
      <c r="AX10" s="418">
        <f>Annahmen!$C$127*(1+Annahmen!$C$130)^(AX4-1)</f>
        <v/>
      </c>
    </row>
    <row r="11" ht="15" customHeight="1">
      <c r="B11" s="314" t="inlineStr">
        <is>
          <t>B2C Preis (€/kg)</t>
        </is>
      </c>
      <c r="C11" s="314" t="inlineStr">
        <is>
          <t>Annahmen C90</t>
        </is>
      </c>
      <c r="D11" s="351">
        <f>Annahmen!$C$90*(1+Annahmen!$C$93)^(D4-1)</f>
        <v/>
      </c>
      <c r="E11" s="351">
        <f>Annahmen!$C$90*(1+Annahmen!$C$93)^(E4-1)</f>
        <v/>
      </c>
      <c r="F11" s="351">
        <f>Annahmen!$C$90*(1+Annahmen!$C$93)^(F4-1)</f>
        <v/>
      </c>
      <c r="G11" s="351">
        <f>Annahmen!$C$90*(1+Annahmen!$C$93)^(G4-1)</f>
        <v/>
      </c>
      <c r="H11" s="351">
        <f>Annahmen!$C$90*(1+Annahmen!$C$93)^(H4-1)</f>
        <v/>
      </c>
      <c r="I11" s="351">
        <f>Annahmen!$C$90*(1+Annahmen!$C$93)^(I4-1)</f>
        <v/>
      </c>
      <c r="J11" s="351">
        <f>Annahmen!$C$90*(1+Annahmen!$C$93)^(J4-1)</f>
        <v/>
      </c>
      <c r="K11" s="351">
        <f>Annahmen!$C$90*(1+Annahmen!$C$93)^(K4-1)</f>
        <v/>
      </c>
      <c r="L11" s="351">
        <f>Annahmen!$C$90*(1+Annahmen!$C$93)^(L4-1)</f>
        <v/>
      </c>
      <c r="M11" s="351">
        <f>Annahmen!$C$90*(1+Annahmen!$C$93)^(M4-1)</f>
        <v/>
      </c>
      <c r="N11" s="351">
        <f>Annahmen!$C$90*(1+Annahmen!$C$93)^(N4-1)</f>
        <v/>
      </c>
      <c r="O11" s="351">
        <f>Annahmen!$C$90*(1+Annahmen!$C$93)^(O4-1)</f>
        <v/>
      </c>
      <c r="P11" s="351">
        <f>Annahmen!$C$90*(1+Annahmen!$C$93)^(P4-1)</f>
        <v/>
      </c>
      <c r="Q11" s="351">
        <f>Annahmen!$C$90*(1+Annahmen!$C$93)^(Q4-1)</f>
        <v/>
      </c>
      <c r="R11" s="351">
        <f>Annahmen!$C$90*(1+Annahmen!$C$93)^(R4-1)</f>
        <v/>
      </c>
      <c r="S11" s="351">
        <f>Annahmen!$C$90*(1+Annahmen!$C$93)^(S4-1)</f>
        <v/>
      </c>
      <c r="T11" s="351">
        <f>Annahmen!$C$90*(1+Annahmen!$C$93)^(T4-1)</f>
        <v/>
      </c>
      <c r="U11" s="351">
        <f>Annahmen!$C$90*(1+Annahmen!$C$93)^(U4-1)</f>
        <v/>
      </c>
      <c r="V11" s="351">
        <f>Annahmen!$C$90*(1+Annahmen!$C$93)^(V4-1)</f>
        <v/>
      </c>
      <c r="W11" s="351">
        <f>Annahmen!$C$90*(1+Annahmen!$C$93)^(W4-1)</f>
        <v/>
      </c>
      <c r="X11" s="351">
        <f>Annahmen!$C$90*(1+Annahmen!$C$93)^(X4-1)</f>
        <v/>
      </c>
      <c r="Y11" s="351">
        <f>Annahmen!$C$90*(1+Annahmen!$C$93)^(Y4-1)</f>
        <v/>
      </c>
      <c r="Z11" s="351">
        <f>Annahmen!$C$90*(1+Annahmen!$C$93)^(Z4-1)</f>
        <v/>
      </c>
      <c r="AA11" s="351">
        <f>Annahmen!$C$90*(1+Annahmen!$C$93)^(AA4-1)</f>
        <v/>
      </c>
      <c r="AB11" s="351">
        <f>Annahmen!$C$90*(1+Annahmen!$C$93)^(AB4-1)</f>
        <v/>
      </c>
      <c r="AC11" s="351">
        <f>Annahmen!$C$90*(1+Annahmen!$C$93)^(AC4-1)</f>
        <v/>
      </c>
      <c r="AD11" s="351">
        <f>Annahmen!$C$90*(1+Annahmen!$C$93)^(AD4-1)</f>
        <v/>
      </c>
      <c r="AE11" s="351">
        <f>Annahmen!$C$90*(1+Annahmen!$C$93)^(AE4-1)</f>
        <v/>
      </c>
      <c r="AF11" s="351">
        <f>Annahmen!$C$90*(1+Annahmen!$C$93)^(AF4-1)</f>
        <v/>
      </c>
      <c r="AG11" s="351">
        <f>Annahmen!$C$90*(1+Annahmen!$C$93)^(AG4-1)</f>
        <v/>
      </c>
      <c r="AH11" s="351">
        <f>Annahmen!$C$90*(1+Annahmen!$C$93)^(AH4-1)</f>
        <v/>
      </c>
      <c r="AI11" s="351">
        <f>Annahmen!$C$90*(1+Annahmen!$C$93)^(AI4-1)</f>
        <v/>
      </c>
      <c r="AJ11" s="351">
        <f>Annahmen!$C$90*(1+Annahmen!$C$93)^(AJ4-1)</f>
        <v/>
      </c>
      <c r="AK11" s="351">
        <f>Annahmen!$C$90*(1+Annahmen!$C$93)^(AK4-1)</f>
        <v/>
      </c>
      <c r="AL11" s="351">
        <f>Annahmen!$C$90*(1+Annahmen!$C$93)^(AL4-1)</f>
        <v/>
      </c>
      <c r="AM11" s="351">
        <f>Annahmen!$C$90*(1+Annahmen!$C$93)^(AM4-1)</f>
        <v/>
      </c>
      <c r="AQ11" s="351">
        <f>Annahmen!$C$90*(1+Annahmen!$C$93)^(AQ4-1)</f>
        <v/>
      </c>
      <c r="AR11" s="351">
        <f>Annahmen!$C$90*(1+Annahmen!$C$93)^(AR4-1)</f>
        <v/>
      </c>
      <c r="AS11" s="351">
        <f>Annahmen!$C$90*(1+Annahmen!$C$93)^(AS4-1)</f>
        <v/>
      </c>
      <c r="AT11" s="351">
        <f>Annahmen!$C$90*(1+Annahmen!$C$93)^(AT4-1)</f>
        <v/>
      </c>
      <c r="AU11" s="351">
        <f>Annahmen!$C$90*(1+Annahmen!$C$93)^(AU4-1)</f>
        <v/>
      </c>
      <c r="AV11" s="351">
        <f>Annahmen!$C$90*(1+Annahmen!$C$93)^(AV4-1)</f>
        <v/>
      </c>
      <c r="AW11" s="351">
        <f>Annahmen!$C$90*(1+Annahmen!$C$93)^(AW4-1)</f>
        <v/>
      </c>
      <c r="AX11" s="351">
        <f>Annahmen!$C$90*(1+Annahmen!$C$93)^(AX4-1)</f>
        <v/>
      </c>
    </row>
    <row r="12" ht="15" customHeight="1">
      <c r="B12" s="406" t="inlineStr">
        <is>
          <t>Variable Kosten (€/kg)</t>
        </is>
      </c>
      <c r="C12" s="406" t="inlineStr">
        <is>
          <t>OPEX Var C10/C9</t>
        </is>
      </c>
      <c r="D12" s="419">
        <f>'OPEX Variabel'!$C$10/Annahmen!$C$9*(1+Annahmen!$C$34)^(D4-1)</f>
        <v/>
      </c>
      <c r="E12" s="419">
        <f>'OPEX Variabel'!$C$10/Annahmen!$C$9*(1+Annahmen!$C$34)^(E4-1)</f>
        <v/>
      </c>
      <c r="F12" s="419">
        <f>'OPEX Variabel'!$C$10/Annahmen!$C$9*(1+Annahmen!$C$34)^(F4-1)</f>
        <v/>
      </c>
      <c r="G12" s="419">
        <f>'OPEX Variabel'!$C$10/Annahmen!$C$9*(1+Annahmen!$C$34)^(G4-1)</f>
        <v/>
      </c>
      <c r="H12" s="419">
        <f>'OPEX Variabel'!$C$10/Annahmen!$C$9*(1+Annahmen!$C$34)^(H4-1)</f>
        <v/>
      </c>
      <c r="I12" s="419">
        <f>'OPEX Variabel'!$C$10/Annahmen!$C$9*(1+Annahmen!$C$34)^(I4-1)</f>
        <v/>
      </c>
      <c r="J12" s="419">
        <f>'OPEX Variabel'!$C$10/Annahmen!$C$9*(1+Annahmen!$C$34)^(J4-1)</f>
        <v/>
      </c>
      <c r="K12" s="419">
        <f>'OPEX Variabel'!$C$10/Annahmen!$C$9*(1+Annahmen!$C$34)^(K4-1)</f>
        <v/>
      </c>
      <c r="L12" s="419">
        <f>'OPEX Variabel'!$C$10/Annahmen!$C$9*(1+Annahmen!$C$34)^(L4-1)</f>
        <v/>
      </c>
      <c r="M12" s="419">
        <f>'OPEX Variabel'!$C$10/Annahmen!$C$9*(1+Annahmen!$C$34)^(M4-1)</f>
        <v/>
      </c>
      <c r="N12" s="419">
        <f>'OPEX Variabel'!$C$10/Annahmen!$C$9*(1+Annahmen!$C$34)^(N4-1)</f>
        <v/>
      </c>
      <c r="O12" s="419">
        <f>'OPEX Variabel'!$C$10/Annahmen!$C$9*(1+Annahmen!$C$34)^(O4-1)</f>
        <v/>
      </c>
      <c r="P12" s="419">
        <f>'OPEX Variabel'!$C$10/Annahmen!$C$9*(1+Annahmen!$C$34)^(P4-1)</f>
        <v/>
      </c>
      <c r="Q12" s="419">
        <f>'OPEX Variabel'!$C$10/Annahmen!$C$9*(1+Annahmen!$C$34)^(Q4-1)</f>
        <v/>
      </c>
      <c r="R12" s="419">
        <f>'OPEX Variabel'!$C$10/Annahmen!$C$9*(1+Annahmen!$C$34)^(R4-1)</f>
        <v/>
      </c>
      <c r="S12" s="419">
        <f>'OPEX Variabel'!$C$10/Annahmen!$C$9*(1+Annahmen!$C$34)^(S4-1)</f>
        <v/>
      </c>
      <c r="T12" s="419">
        <f>'OPEX Variabel'!$C$10/Annahmen!$C$9*(1+Annahmen!$C$34)^(T4-1)</f>
        <v/>
      </c>
      <c r="U12" s="419">
        <f>'OPEX Variabel'!$C$10/Annahmen!$C$9*(1+Annahmen!$C$34)^(U4-1)</f>
        <v/>
      </c>
      <c r="V12" s="419">
        <f>'OPEX Variabel'!$C$10/Annahmen!$C$9*(1+Annahmen!$C$34)^(V4-1)</f>
        <v/>
      </c>
      <c r="W12" s="419">
        <f>'OPEX Variabel'!$C$10/Annahmen!$C$9*(1+Annahmen!$C$34)^(W4-1)</f>
        <v/>
      </c>
      <c r="X12" s="419">
        <f>'OPEX Variabel'!$C$10/Annahmen!$C$9*(1+Annahmen!$C$34)^(X4-1)</f>
        <v/>
      </c>
      <c r="Y12" s="419">
        <f>'OPEX Variabel'!$C$10/Annahmen!$C$9*(1+Annahmen!$C$34)^(Y4-1)</f>
        <v/>
      </c>
      <c r="Z12" s="419">
        <f>'OPEX Variabel'!$C$10/Annahmen!$C$9*(1+Annahmen!$C$34)^(Z4-1)</f>
        <v/>
      </c>
      <c r="AA12" s="419">
        <f>'OPEX Variabel'!$C$10/Annahmen!$C$9*(1+Annahmen!$C$34)^(AA4-1)</f>
        <v/>
      </c>
      <c r="AB12" s="419">
        <f>'OPEX Variabel'!$C$10/Annahmen!$C$9*(1+Annahmen!$C$34)^(AB4-1)</f>
        <v/>
      </c>
      <c r="AC12" s="419">
        <f>'OPEX Variabel'!$C$10/Annahmen!$C$9*(1+Annahmen!$C$34)^(AC4-1)</f>
        <v/>
      </c>
      <c r="AD12" s="419">
        <f>'OPEX Variabel'!$C$10/Annahmen!$C$9*(1+Annahmen!$C$34)^(AD4-1)</f>
        <v/>
      </c>
      <c r="AE12" s="419">
        <f>'OPEX Variabel'!$C$10/Annahmen!$C$9*(1+Annahmen!$C$34)^(AE4-1)</f>
        <v/>
      </c>
      <c r="AF12" s="419">
        <f>'OPEX Variabel'!$C$10/Annahmen!$C$9*(1+Annahmen!$C$34)^(AF4-1)</f>
        <v/>
      </c>
      <c r="AG12" s="419">
        <f>'OPEX Variabel'!$C$10/Annahmen!$C$9*(1+Annahmen!$C$34)^(AG4-1)</f>
        <v/>
      </c>
      <c r="AH12" s="419">
        <f>'OPEX Variabel'!$C$10/Annahmen!$C$9*(1+Annahmen!$C$34)^(AH4-1)</f>
        <v/>
      </c>
      <c r="AI12" s="419">
        <f>'OPEX Variabel'!$C$10/Annahmen!$C$9*(1+Annahmen!$C$34)^(AI4-1)</f>
        <v/>
      </c>
      <c r="AJ12" s="419">
        <f>'OPEX Variabel'!$C$10/Annahmen!$C$9*(1+Annahmen!$C$34)^(AJ4-1)</f>
        <v/>
      </c>
      <c r="AK12" s="419">
        <f>'OPEX Variabel'!$C$10/Annahmen!$C$9*(1+Annahmen!$C$34)^(AK4-1)</f>
        <v/>
      </c>
      <c r="AL12" s="419">
        <f>'OPEX Variabel'!$C$10/Annahmen!$C$9*(1+Annahmen!$C$34)^(AL4-1)</f>
        <v/>
      </c>
      <c r="AM12" s="419">
        <f>'OPEX Variabel'!$C$10/Annahmen!$C$9*(1+Annahmen!$C$34)^(AM4-1)</f>
        <v/>
      </c>
      <c r="AQ12" s="419">
        <f>'OPEX Variabel'!$C$10/Annahmen!$C$9*(1+Annahmen!$C$34)^(AQ4-1)</f>
        <v/>
      </c>
      <c r="AR12" s="419">
        <f>'OPEX Variabel'!$C$10/Annahmen!$C$9*(1+Annahmen!$C$34)^(AR4-1)</f>
        <v/>
      </c>
      <c r="AS12" s="419">
        <f>'OPEX Variabel'!$C$10/Annahmen!$C$9*(1+Annahmen!$C$34)^(AS4-1)</f>
        <v/>
      </c>
      <c r="AT12" s="419">
        <f>'OPEX Variabel'!$C$10/Annahmen!$C$9*(1+Annahmen!$C$34)^(AT4-1)</f>
        <v/>
      </c>
      <c r="AU12" s="419">
        <f>'OPEX Variabel'!$C$10/Annahmen!$C$9*(1+Annahmen!$C$34)^(AU4-1)</f>
        <v/>
      </c>
      <c r="AV12" s="419">
        <f>'OPEX Variabel'!$C$10/Annahmen!$C$9*(1+Annahmen!$C$34)^(AV4-1)</f>
        <v/>
      </c>
      <c r="AW12" s="419">
        <f>'OPEX Variabel'!$C$10/Annahmen!$C$9*(1+Annahmen!$C$34)^(AW4-1)</f>
        <v/>
      </c>
      <c r="AX12" s="419">
        <f>'OPEX Variabel'!$C$10/Annahmen!$C$9*(1+Annahmen!$C$34)^(AX4-1)</f>
        <v/>
      </c>
    </row>
    <row r="13" ht="15" customHeight="1">
      <c r="B13" s="314" t="inlineStr">
        <is>
          <t>B2C Verpackung (€/kg)</t>
        </is>
      </c>
      <c r="D13" s="351">
        <f>Annahmen!$C$158*(1+Annahmen!$C$34)^(D4-1)</f>
        <v/>
      </c>
      <c r="E13" s="351">
        <f>Annahmen!$C$158*(1+Annahmen!$C$34)^(E4-1)</f>
        <v/>
      </c>
      <c r="F13" s="351">
        <f>Annahmen!$C$158*(1+Annahmen!$C$34)^(F4-1)</f>
        <v/>
      </c>
      <c r="G13" s="351">
        <f>Annahmen!$C$158*(1+Annahmen!$C$34)^(G4-1)</f>
        <v/>
      </c>
      <c r="H13" s="351">
        <f>Annahmen!$C$158*(1+Annahmen!$C$34)^(H4-1)</f>
        <v/>
      </c>
      <c r="I13" s="351">
        <f>Annahmen!$C$158*(1+Annahmen!$C$34)^(I4-1)</f>
        <v/>
      </c>
      <c r="J13" s="351">
        <f>Annahmen!$C$158*(1+Annahmen!$C$34)^(J4-1)</f>
        <v/>
      </c>
      <c r="K13" s="351">
        <f>Annahmen!$C$158*(1+Annahmen!$C$34)^(K4-1)</f>
        <v/>
      </c>
      <c r="L13" s="351">
        <f>Annahmen!$C$158*(1+Annahmen!$C$34)^(L4-1)</f>
        <v/>
      </c>
      <c r="M13" s="351">
        <f>Annahmen!$C$158*(1+Annahmen!$C$34)^(M4-1)</f>
        <v/>
      </c>
      <c r="N13" s="351">
        <f>Annahmen!$C$158*(1+Annahmen!$C$34)^(N4-1)</f>
        <v/>
      </c>
      <c r="O13" s="351">
        <f>Annahmen!$C$158*(1+Annahmen!$C$34)^(O4-1)</f>
        <v/>
      </c>
      <c r="P13" s="351">
        <f>Annahmen!$C$158*(1+Annahmen!$C$34)^(P4-1)</f>
        <v/>
      </c>
      <c r="Q13" s="351">
        <f>Annahmen!$C$158*(1+Annahmen!$C$34)^(Q4-1)</f>
        <v/>
      </c>
      <c r="R13" s="351">
        <f>Annahmen!$C$158*(1+Annahmen!$C$34)^(R4-1)</f>
        <v/>
      </c>
      <c r="S13" s="351">
        <f>Annahmen!$C$158*(1+Annahmen!$C$34)^(S4-1)</f>
        <v/>
      </c>
      <c r="T13" s="351">
        <f>Annahmen!$C$158*(1+Annahmen!$C$34)^(T4-1)</f>
        <v/>
      </c>
      <c r="U13" s="351">
        <f>Annahmen!$C$158*(1+Annahmen!$C$34)^(U4-1)</f>
        <v/>
      </c>
      <c r="V13" s="351">
        <f>Annahmen!$C$158*(1+Annahmen!$C$34)^(V4-1)</f>
        <v/>
      </c>
      <c r="W13" s="351">
        <f>Annahmen!$C$158*(1+Annahmen!$C$34)^(W4-1)</f>
        <v/>
      </c>
      <c r="X13" s="351">
        <f>Annahmen!$C$158*(1+Annahmen!$C$34)^(X4-1)</f>
        <v/>
      </c>
      <c r="Y13" s="351">
        <f>Annahmen!$C$158*(1+Annahmen!$C$34)^(Y4-1)</f>
        <v/>
      </c>
      <c r="Z13" s="351">
        <f>Annahmen!$C$158*(1+Annahmen!$C$34)^(Z4-1)</f>
        <v/>
      </c>
      <c r="AA13" s="351">
        <f>Annahmen!$C$158*(1+Annahmen!$C$34)^(AA4-1)</f>
        <v/>
      </c>
      <c r="AB13" s="351">
        <f>Annahmen!$C$158*(1+Annahmen!$C$34)^(AB4-1)</f>
        <v/>
      </c>
      <c r="AC13" s="351">
        <f>Annahmen!$C$158*(1+Annahmen!$C$34)^(AC4-1)</f>
        <v/>
      </c>
      <c r="AD13" s="351">
        <f>Annahmen!$C$158*(1+Annahmen!$C$34)^(AD4-1)</f>
        <v/>
      </c>
      <c r="AE13" s="351">
        <f>Annahmen!$C$158*(1+Annahmen!$C$34)^(AE4-1)</f>
        <v/>
      </c>
      <c r="AF13" s="351">
        <f>Annahmen!$C$158*(1+Annahmen!$C$34)^(AF4-1)</f>
        <v/>
      </c>
      <c r="AG13" s="351">
        <f>Annahmen!$C$158*(1+Annahmen!$C$34)^(AG4-1)</f>
        <v/>
      </c>
      <c r="AH13" s="351">
        <f>Annahmen!$C$158*(1+Annahmen!$C$34)^(AH4-1)</f>
        <v/>
      </c>
      <c r="AI13" s="351">
        <f>Annahmen!$C$158*(1+Annahmen!$C$34)^(AI4-1)</f>
        <v/>
      </c>
      <c r="AJ13" s="351">
        <f>Annahmen!$C$158*(1+Annahmen!$C$34)^(AJ4-1)</f>
        <v/>
      </c>
      <c r="AK13" s="351">
        <f>Annahmen!$C$158*(1+Annahmen!$C$34)^(AK4-1)</f>
        <v/>
      </c>
      <c r="AL13" s="351">
        <f>Annahmen!$C$158*(1+Annahmen!$C$34)^(AL4-1)</f>
        <v/>
      </c>
      <c r="AM13" s="351">
        <f>Annahmen!$C$158*(1+Annahmen!$C$34)^(AM4-1)</f>
        <v/>
      </c>
      <c r="AQ13" s="351">
        <f>Annahmen!$C$158*(1+Annahmen!$C$34)^(AQ4-1)</f>
        <v/>
      </c>
      <c r="AR13" s="351">
        <f>Annahmen!$C$158*(1+Annahmen!$C$34)^(AR4-1)</f>
        <v/>
      </c>
      <c r="AS13" s="351">
        <f>Annahmen!$C$158*(1+Annahmen!$C$34)^(AS4-1)</f>
        <v/>
      </c>
      <c r="AT13" s="351">
        <f>Annahmen!$C$158*(1+Annahmen!$C$34)^(AT4-1)</f>
        <v/>
      </c>
      <c r="AU13" s="351">
        <f>Annahmen!$C$158*(1+Annahmen!$C$34)^(AU4-1)</f>
        <v/>
      </c>
      <c r="AV13" s="351">
        <f>Annahmen!$C$158*(1+Annahmen!$C$34)^(AV4-1)</f>
        <v/>
      </c>
      <c r="AW13" s="351">
        <f>Annahmen!$C$158*(1+Annahmen!$C$34)^(AW4-1)</f>
        <v/>
      </c>
      <c r="AX13" s="351">
        <f>Annahmen!$C$158*(1+Annahmen!$C$34)^(AX4-1)</f>
        <v/>
      </c>
    </row>
    <row r="14" ht="15" customHeight="1">
      <c r="B14" s="406" t="inlineStr">
        <is>
          <t>B2B Retail Verpackung (€/kg)</t>
        </is>
      </c>
      <c r="D14" s="418">
        <f>Annahmen!$C$171*(1+Annahmen!$C$34)^(D4-1)</f>
        <v/>
      </c>
      <c r="E14" s="418">
        <f>Annahmen!$C$171*(1+Annahmen!$C$34)^(E4-1)</f>
        <v/>
      </c>
      <c r="F14" s="418">
        <f>Annahmen!$C$171*(1+Annahmen!$C$34)^(F4-1)</f>
        <v/>
      </c>
      <c r="G14" s="418">
        <f>Annahmen!$C$171*(1+Annahmen!$C$34)^(G4-1)</f>
        <v/>
      </c>
      <c r="H14" s="418">
        <f>Annahmen!$C$171*(1+Annahmen!$C$34)^(H4-1)</f>
        <v/>
      </c>
      <c r="I14" s="418">
        <f>Annahmen!$C$171*(1+Annahmen!$C$34)^(I4-1)</f>
        <v/>
      </c>
      <c r="J14" s="418">
        <f>Annahmen!$C$171*(1+Annahmen!$C$34)^(J4-1)</f>
        <v/>
      </c>
      <c r="K14" s="418">
        <f>Annahmen!$C$171*(1+Annahmen!$C$34)^(K4-1)</f>
        <v/>
      </c>
      <c r="L14" s="418">
        <f>Annahmen!$C$171*(1+Annahmen!$C$34)^(L4-1)</f>
        <v/>
      </c>
      <c r="M14" s="418">
        <f>Annahmen!$C$171*(1+Annahmen!$C$34)^(M4-1)</f>
        <v/>
      </c>
      <c r="N14" s="418">
        <f>Annahmen!$C$171*(1+Annahmen!$C$34)^(N4-1)</f>
        <v/>
      </c>
      <c r="O14" s="418">
        <f>Annahmen!$C$171*(1+Annahmen!$C$34)^(O4-1)</f>
        <v/>
      </c>
      <c r="P14" s="418">
        <f>Annahmen!$C$171*(1+Annahmen!$C$34)^(P4-1)</f>
        <v/>
      </c>
      <c r="Q14" s="418">
        <f>Annahmen!$C$171*(1+Annahmen!$C$34)^(Q4-1)</f>
        <v/>
      </c>
      <c r="R14" s="418">
        <f>Annahmen!$C$171*(1+Annahmen!$C$34)^(R4-1)</f>
        <v/>
      </c>
      <c r="S14" s="418">
        <f>Annahmen!$C$171*(1+Annahmen!$C$34)^(S4-1)</f>
        <v/>
      </c>
      <c r="T14" s="418">
        <f>Annahmen!$C$171*(1+Annahmen!$C$34)^(T4-1)</f>
        <v/>
      </c>
      <c r="U14" s="418">
        <f>Annahmen!$C$171*(1+Annahmen!$C$34)^(U4-1)</f>
        <v/>
      </c>
      <c r="V14" s="418">
        <f>Annahmen!$C$171*(1+Annahmen!$C$34)^(V4-1)</f>
        <v/>
      </c>
      <c r="W14" s="418">
        <f>Annahmen!$C$171*(1+Annahmen!$C$34)^(W4-1)</f>
        <v/>
      </c>
      <c r="X14" s="418">
        <f>Annahmen!$C$171*(1+Annahmen!$C$34)^(X4-1)</f>
        <v/>
      </c>
      <c r="Y14" s="418">
        <f>Annahmen!$C$171*(1+Annahmen!$C$34)^(Y4-1)</f>
        <v/>
      </c>
      <c r="Z14" s="418">
        <f>Annahmen!$C$171*(1+Annahmen!$C$34)^(Z4-1)</f>
        <v/>
      </c>
      <c r="AA14" s="418">
        <f>Annahmen!$C$171*(1+Annahmen!$C$34)^(AA4-1)</f>
        <v/>
      </c>
      <c r="AB14" s="418">
        <f>Annahmen!$C$171*(1+Annahmen!$C$34)^(AB4-1)</f>
        <v/>
      </c>
      <c r="AC14" s="418">
        <f>Annahmen!$C$171*(1+Annahmen!$C$34)^(AC4-1)</f>
        <v/>
      </c>
      <c r="AD14" s="418">
        <f>Annahmen!$C$171*(1+Annahmen!$C$34)^(AD4-1)</f>
        <v/>
      </c>
      <c r="AE14" s="418">
        <f>Annahmen!$C$171*(1+Annahmen!$C$34)^(AE4-1)</f>
        <v/>
      </c>
      <c r="AF14" s="418">
        <f>Annahmen!$C$171*(1+Annahmen!$C$34)^(AF4-1)</f>
        <v/>
      </c>
      <c r="AG14" s="418">
        <f>Annahmen!$C$171*(1+Annahmen!$C$34)^(AG4-1)</f>
        <v/>
      </c>
      <c r="AH14" s="418">
        <f>Annahmen!$C$171*(1+Annahmen!$C$34)^(AH4-1)</f>
        <v/>
      </c>
      <c r="AI14" s="418">
        <f>Annahmen!$C$171*(1+Annahmen!$C$34)^(AI4-1)</f>
        <v/>
      </c>
      <c r="AJ14" s="418">
        <f>Annahmen!$C$171*(1+Annahmen!$C$34)^(AJ4-1)</f>
        <v/>
      </c>
      <c r="AK14" s="418">
        <f>Annahmen!$C$171*(1+Annahmen!$C$34)^(AK4-1)</f>
        <v/>
      </c>
      <c r="AL14" s="418">
        <f>Annahmen!$C$171*(1+Annahmen!$C$34)^(AL4-1)</f>
        <v/>
      </c>
      <c r="AM14" s="418">
        <f>Annahmen!$C$171*(1+Annahmen!$C$34)^(AM4-1)</f>
        <v/>
      </c>
      <c r="AQ14" s="418">
        <f>Annahmen!$C$171*(1+Annahmen!$C$34)^(AQ4-1)</f>
        <v/>
      </c>
      <c r="AR14" s="418">
        <f>Annahmen!$C$171*(1+Annahmen!$C$34)^(AR4-1)</f>
        <v/>
      </c>
      <c r="AS14" s="418">
        <f>Annahmen!$C$171*(1+Annahmen!$C$34)^(AS4-1)</f>
        <v/>
      </c>
      <c r="AT14" s="418">
        <f>Annahmen!$C$171*(1+Annahmen!$C$34)^(AT4-1)</f>
        <v/>
      </c>
      <c r="AU14" s="418">
        <f>Annahmen!$C$171*(1+Annahmen!$C$34)^(AU4-1)</f>
        <v/>
      </c>
      <c r="AV14" s="418">
        <f>Annahmen!$C$171*(1+Annahmen!$C$34)^(AV4-1)</f>
        <v/>
      </c>
      <c r="AW14" s="418">
        <f>Annahmen!$C$171*(1+Annahmen!$C$34)^(AW4-1)</f>
        <v/>
      </c>
      <c r="AX14" s="418">
        <f>Annahmen!$C$171*(1+Annahmen!$C$34)^(AX4-1)</f>
        <v/>
      </c>
    </row>
    <row r="15" ht="15" customHeight="1">
      <c r="B15" s="314" t="inlineStr">
        <is>
          <t>B2B Bulk Verpackung (€/kg)</t>
        </is>
      </c>
      <c r="D15" s="377">
        <f>Annahmen!$C$179*(1+Annahmen!$C$34)^(D4-1)</f>
        <v/>
      </c>
      <c r="E15" s="377">
        <f>Annahmen!$C$179*(1+Annahmen!$C$34)^(E4-1)</f>
        <v/>
      </c>
      <c r="F15" s="377">
        <f>Annahmen!$C$179*(1+Annahmen!$C$34)^(F4-1)</f>
        <v/>
      </c>
      <c r="G15" s="377">
        <f>Annahmen!$C$179*(1+Annahmen!$C$34)^(G4-1)</f>
        <v/>
      </c>
      <c r="H15" s="377">
        <f>Annahmen!$C$179*(1+Annahmen!$C$34)^(H4-1)</f>
        <v/>
      </c>
      <c r="I15" s="377">
        <f>Annahmen!$C$179*(1+Annahmen!$C$34)^(I4-1)</f>
        <v/>
      </c>
      <c r="J15" s="377">
        <f>Annahmen!$C$179*(1+Annahmen!$C$34)^(J4-1)</f>
        <v/>
      </c>
      <c r="K15" s="377">
        <f>Annahmen!$C$179*(1+Annahmen!$C$34)^(K4-1)</f>
        <v/>
      </c>
      <c r="L15" s="377">
        <f>Annahmen!$C$179*(1+Annahmen!$C$34)^(L4-1)</f>
        <v/>
      </c>
      <c r="M15" s="377">
        <f>Annahmen!$C$179*(1+Annahmen!$C$34)^(M4-1)</f>
        <v/>
      </c>
      <c r="N15" s="377">
        <f>Annahmen!$C$179*(1+Annahmen!$C$34)^(N4-1)</f>
        <v/>
      </c>
      <c r="O15" s="377">
        <f>Annahmen!$C$179*(1+Annahmen!$C$34)^(O4-1)</f>
        <v/>
      </c>
      <c r="P15" s="377">
        <f>Annahmen!$C$179*(1+Annahmen!$C$34)^(P4-1)</f>
        <v/>
      </c>
      <c r="Q15" s="377">
        <f>Annahmen!$C$179*(1+Annahmen!$C$34)^(Q4-1)</f>
        <v/>
      </c>
      <c r="R15" s="377">
        <f>Annahmen!$C$179*(1+Annahmen!$C$34)^(R4-1)</f>
        <v/>
      </c>
      <c r="S15" s="377">
        <f>Annahmen!$C$179*(1+Annahmen!$C$34)^(S4-1)</f>
        <v/>
      </c>
      <c r="T15" s="377">
        <f>Annahmen!$C$179*(1+Annahmen!$C$34)^(T4-1)</f>
        <v/>
      </c>
      <c r="U15" s="377">
        <f>Annahmen!$C$179*(1+Annahmen!$C$34)^(U4-1)</f>
        <v/>
      </c>
      <c r="V15" s="377">
        <f>Annahmen!$C$179*(1+Annahmen!$C$34)^(V4-1)</f>
        <v/>
      </c>
      <c r="W15" s="377">
        <f>Annahmen!$C$179*(1+Annahmen!$C$34)^(W4-1)</f>
        <v/>
      </c>
      <c r="X15" s="377">
        <f>Annahmen!$C$179*(1+Annahmen!$C$34)^(X4-1)</f>
        <v/>
      </c>
      <c r="Y15" s="377">
        <f>Annahmen!$C$179*(1+Annahmen!$C$34)^(Y4-1)</f>
        <v/>
      </c>
      <c r="Z15" s="377">
        <f>Annahmen!$C$179*(1+Annahmen!$C$34)^(Z4-1)</f>
        <v/>
      </c>
      <c r="AA15" s="377">
        <f>Annahmen!$C$179*(1+Annahmen!$C$34)^(AA4-1)</f>
        <v/>
      </c>
      <c r="AB15" s="377">
        <f>Annahmen!$C$179*(1+Annahmen!$C$34)^(AB4-1)</f>
        <v/>
      </c>
      <c r="AC15" s="377">
        <f>Annahmen!$C$179*(1+Annahmen!$C$34)^(AC4-1)</f>
        <v/>
      </c>
      <c r="AD15" s="377">
        <f>Annahmen!$C$179*(1+Annahmen!$C$34)^(AD4-1)</f>
        <v/>
      </c>
      <c r="AE15" s="377">
        <f>Annahmen!$C$179*(1+Annahmen!$C$34)^(AE4-1)</f>
        <v/>
      </c>
      <c r="AF15" s="377">
        <f>Annahmen!$C$179*(1+Annahmen!$C$34)^(AF4-1)</f>
        <v/>
      </c>
      <c r="AG15" s="377">
        <f>Annahmen!$C$179*(1+Annahmen!$C$34)^(AG4-1)</f>
        <v/>
      </c>
      <c r="AH15" s="377">
        <f>Annahmen!$C$179*(1+Annahmen!$C$34)^(AH4-1)</f>
        <v/>
      </c>
      <c r="AI15" s="377">
        <f>Annahmen!$C$179*(1+Annahmen!$C$34)^(AI4-1)</f>
        <v/>
      </c>
      <c r="AJ15" s="377">
        <f>Annahmen!$C$179*(1+Annahmen!$C$34)^(AJ4-1)</f>
        <v/>
      </c>
      <c r="AK15" s="377">
        <f>Annahmen!$C$179*(1+Annahmen!$C$34)^(AK4-1)</f>
        <v/>
      </c>
      <c r="AL15" s="377">
        <f>Annahmen!$C$179*(1+Annahmen!$C$34)^(AL4-1)</f>
        <v/>
      </c>
      <c r="AM15" s="377">
        <f>Annahmen!$C$179*(1+Annahmen!$C$34)^(AM4-1)</f>
        <v/>
      </c>
      <c r="AQ15" s="377">
        <f>Annahmen!$C$179*(1+Annahmen!$C$34)^(AQ4-1)</f>
        <v/>
      </c>
      <c r="AR15" s="377">
        <f>Annahmen!$C$179*(1+Annahmen!$C$34)^(AR4-1)</f>
        <v/>
      </c>
      <c r="AS15" s="377">
        <f>Annahmen!$C$179*(1+Annahmen!$C$34)^(AS4-1)</f>
        <v/>
      </c>
      <c r="AT15" s="377">
        <f>Annahmen!$C$179*(1+Annahmen!$C$34)^(AT4-1)</f>
        <v/>
      </c>
      <c r="AU15" s="377">
        <f>Annahmen!$C$179*(1+Annahmen!$C$34)^(AU4-1)</f>
        <v/>
      </c>
      <c r="AV15" s="377">
        <f>Annahmen!$C$179*(1+Annahmen!$C$34)^(AV4-1)</f>
        <v/>
      </c>
      <c r="AW15" s="377">
        <f>Annahmen!$C$179*(1+Annahmen!$C$34)^(AW4-1)</f>
        <v/>
      </c>
      <c r="AX15" s="377">
        <f>Annahmen!$C$179*(1+Annahmen!$C$34)^(AX4-1)</f>
        <v/>
      </c>
    </row>
    <row r="16" ht="15" customHeight="1">
      <c r="B16" s="406" t="inlineStr">
        <is>
          <t>Verpackung gewichtet (€/kg)</t>
        </is>
      </c>
      <c r="D16" s="418">
        <f>Annahmen!$C$80*Annahmen!$C$120*D15+Annahmen!$C$80*(1-Annahmen!$C$120)*D14+(1-Annahmen!$C$80)*D13</f>
        <v/>
      </c>
      <c r="E16" s="418">
        <f>Annahmen!$C$80*Annahmen!$C$120*E15+Annahmen!$C$80*(1-Annahmen!$C$120)*E14+(1-Annahmen!$C$80)*E13</f>
        <v/>
      </c>
      <c r="F16" s="418">
        <f>Annahmen!$C$80*Annahmen!$C$120*F15+Annahmen!$C$80*(1-Annahmen!$C$120)*F14+(1-Annahmen!$C$80)*F13</f>
        <v/>
      </c>
      <c r="G16" s="418">
        <f>Annahmen!$C$80*Annahmen!$C$120*G15+Annahmen!$C$80*(1-Annahmen!$C$120)*G14+(1-Annahmen!$C$80)*G13</f>
        <v/>
      </c>
      <c r="H16" s="418">
        <f>Annahmen!$C$80*Annahmen!$C$120*H15+Annahmen!$C$80*(1-Annahmen!$C$120)*H14+(1-Annahmen!$C$80)*H13</f>
        <v/>
      </c>
      <c r="I16" s="418">
        <f>Annahmen!$C$80*Annahmen!$C$120*I15+Annahmen!$C$80*(1-Annahmen!$C$120)*I14+(1-Annahmen!$C$80)*I13</f>
        <v/>
      </c>
      <c r="J16" s="418">
        <f>Annahmen!$C$80*Annahmen!$C$120*J15+Annahmen!$C$80*(1-Annahmen!$C$120)*J14+(1-Annahmen!$C$80)*J13</f>
        <v/>
      </c>
      <c r="K16" s="418">
        <f>Annahmen!$C$80*Annahmen!$C$120*K15+Annahmen!$C$80*(1-Annahmen!$C$120)*K14+(1-Annahmen!$C$80)*K13</f>
        <v/>
      </c>
      <c r="L16" s="418">
        <f>Annahmen!$C$80*Annahmen!$C$120*L15+Annahmen!$C$80*(1-Annahmen!$C$120)*L14+(1-Annahmen!$C$80)*L13</f>
        <v/>
      </c>
      <c r="M16" s="418">
        <f>Annahmen!$C$80*Annahmen!$C$120*M15+Annahmen!$C$80*(1-Annahmen!$C$120)*M14+(1-Annahmen!$C$80)*M13</f>
        <v/>
      </c>
      <c r="N16" s="418">
        <f>Annahmen!$C$80*Annahmen!$C$120*N15+Annahmen!$C$80*(1-Annahmen!$C$120)*N14+(1-Annahmen!$C$80)*N13</f>
        <v/>
      </c>
      <c r="O16" s="418">
        <f>Annahmen!$C$80*Annahmen!$C$120*O15+Annahmen!$C$80*(1-Annahmen!$C$120)*O14+(1-Annahmen!$C$80)*O13</f>
        <v/>
      </c>
      <c r="P16" s="418">
        <f>Annahmen!$C$80*Annahmen!$C$120*P15+Annahmen!$C$80*(1-Annahmen!$C$120)*P14+(1-Annahmen!$C$80)*P13</f>
        <v/>
      </c>
      <c r="Q16" s="418">
        <f>Annahmen!$C$80*Annahmen!$C$120*Q15+Annahmen!$C$80*(1-Annahmen!$C$120)*Q14+(1-Annahmen!$C$80)*Q13</f>
        <v/>
      </c>
      <c r="R16" s="418">
        <f>Annahmen!$C$80*Annahmen!$C$120*R15+Annahmen!$C$80*(1-Annahmen!$C$120)*R14+(1-Annahmen!$C$80)*R13</f>
        <v/>
      </c>
      <c r="S16" s="418">
        <f>Annahmen!$C$80*Annahmen!$C$120*S15+Annahmen!$C$80*(1-Annahmen!$C$120)*S14+(1-Annahmen!$C$80)*S13</f>
        <v/>
      </c>
      <c r="T16" s="418">
        <f>Annahmen!$C$80*Annahmen!$C$120*T15+Annahmen!$C$80*(1-Annahmen!$C$120)*T14+(1-Annahmen!$C$80)*T13</f>
        <v/>
      </c>
      <c r="U16" s="418">
        <f>Annahmen!$C$80*Annahmen!$C$120*U15+Annahmen!$C$80*(1-Annahmen!$C$120)*U14+(1-Annahmen!$C$80)*U13</f>
        <v/>
      </c>
      <c r="V16" s="418">
        <f>Annahmen!$C$80*Annahmen!$C$120*V15+Annahmen!$C$80*(1-Annahmen!$C$120)*V14+(1-Annahmen!$C$80)*V13</f>
        <v/>
      </c>
      <c r="W16" s="418">
        <f>Annahmen!$C$80*Annahmen!$C$120*W15+Annahmen!$C$80*(1-Annahmen!$C$120)*W14+(1-Annahmen!$C$80)*W13</f>
        <v/>
      </c>
      <c r="X16" s="418">
        <f>Annahmen!$C$80*Annahmen!$C$120*X15+Annahmen!$C$80*(1-Annahmen!$C$120)*X14+(1-Annahmen!$C$80)*X13</f>
        <v/>
      </c>
      <c r="Y16" s="418">
        <f>Annahmen!$C$80*Annahmen!$C$120*Y15+Annahmen!$C$80*(1-Annahmen!$C$120)*Y14+(1-Annahmen!$C$80)*Y13</f>
        <v/>
      </c>
      <c r="Z16" s="418">
        <f>Annahmen!$C$80*Annahmen!$C$120*Z15+Annahmen!$C$80*(1-Annahmen!$C$120)*Z14+(1-Annahmen!$C$80)*Z13</f>
        <v/>
      </c>
      <c r="AA16" s="418">
        <f>Annahmen!$C$80*Annahmen!$C$120*AA15+Annahmen!$C$80*(1-Annahmen!$C$120)*AA14+(1-Annahmen!$C$80)*AA13</f>
        <v/>
      </c>
      <c r="AB16" s="418">
        <f>Annahmen!$C$80*Annahmen!$C$120*AB15+Annahmen!$C$80*(1-Annahmen!$C$120)*AB14+(1-Annahmen!$C$80)*AB13</f>
        <v/>
      </c>
      <c r="AC16" s="418">
        <f>Annahmen!$C$80*Annahmen!$C$120*AC15+Annahmen!$C$80*(1-Annahmen!$C$120)*AC14+(1-Annahmen!$C$80)*AC13</f>
        <v/>
      </c>
      <c r="AD16" s="418">
        <f>Annahmen!$C$80*Annahmen!$C$120*AD15+Annahmen!$C$80*(1-Annahmen!$C$120)*AD14+(1-Annahmen!$C$80)*AD13</f>
        <v/>
      </c>
      <c r="AE16" s="418">
        <f>Annahmen!$C$80*Annahmen!$C$120*AE15+Annahmen!$C$80*(1-Annahmen!$C$120)*AE14+(1-Annahmen!$C$80)*AE13</f>
        <v/>
      </c>
      <c r="AF16" s="418">
        <f>Annahmen!$C$80*Annahmen!$C$120*AF15+Annahmen!$C$80*(1-Annahmen!$C$120)*AF14+(1-Annahmen!$C$80)*AF13</f>
        <v/>
      </c>
      <c r="AG16" s="418">
        <f>Annahmen!$C$80*Annahmen!$C$120*AG15+Annahmen!$C$80*(1-Annahmen!$C$120)*AG14+(1-Annahmen!$C$80)*AG13</f>
        <v/>
      </c>
      <c r="AH16" s="418">
        <f>Annahmen!$C$80*Annahmen!$C$120*AH15+Annahmen!$C$80*(1-Annahmen!$C$120)*AH14+(1-Annahmen!$C$80)*AH13</f>
        <v/>
      </c>
      <c r="AI16" s="418">
        <f>Annahmen!$C$80*Annahmen!$C$120*AI15+Annahmen!$C$80*(1-Annahmen!$C$120)*AI14+(1-Annahmen!$C$80)*AI13</f>
        <v/>
      </c>
      <c r="AJ16" s="418">
        <f>Annahmen!$C$80*Annahmen!$C$120*AJ15+Annahmen!$C$80*(1-Annahmen!$C$120)*AJ14+(1-Annahmen!$C$80)*AJ13</f>
        <v/>
      </c>
      <c r="AK16" s="418">
        <f>Annahmen!$C$80*Annahmen!$C$120*AK15+Annahmen!$C$80*(1-Annahmen!$C$120)*AK14+(1-Annahmen!$C$80)*AK13</f>
        <v/>
      </c>
      <c r="AL16" s="418">
        <f>Annahmen!$C$80*Annahmen!$C$120*AL15+Annahmen!$C$80*(1-Annahmen!$C$120)*AL14+(1-Annahmen!$C$80)*AL13</f>
        <v/>
      </c>
      <c r="AM16" s="418">
        <f>Annahmen!$C$80*Annahmen!$C$120*AM15+Annahmen!$C$80*(1-Annahmen!$C$120)*AM14+(1-Annahmen!$C$80)*AM13</f>
        <v/>
      </c>
      <c r="AQ16" s="418">
        <f>Annahmen!$C$80*Annahmen!$C$120*AQ15+Annahmen!$C$80*(1-Annahmen!$C$120)*AQ14+(1-Annahmen!$C$80)*AQ13</f>
        <v/>
      </c>
      <c r="AR16" s="418">
        <f>Annahmen!$C$80*Annahmen!$C$120*AR15+Annahmen!$C$80*(1-Annahmen!$C$120)*AR14+(1-Annahmen!$C$80)*AR13</f>
        <v/>
      </c>
      <c r="AS16" s="418">
        <f>Annahmen!$C$80*Annahmen!$C$120*AS15+Annahmen!$C$80*(1-Annahmen!$C$120)*AS14+(1-Annahmen!$C$80)*AS13</f>
        <v/>
      </c>
      <c r="AT16" s="418">
        <f>Annahmen!$C$80*Annahmen!$C$120*AT15+Annahmen!$C$80*(1-Annahmen!$C$120)*AT14+(1-Annahmen!$C$80)*AT13</f>
        <v/>
      </c>
      <c r="AU16" s="418">
        <f>Annahmen!$C$80*Annahmen!$C$120*AU15+Annahmen!$C$80*(1-Annahmen!$C$120)*AU14+(1-Annahmen!$C$80)*AU13</f>
        <v/>
      </c>
      <c r="AV16" s="418">
        <f>Annahmen!$C$80*Annahmen!$C$120*AV15+Annahmen!$C$80*(1-Annahmen!$C$120)*AV14+(1-Annahmen!$C$80)*AV13</f>
        <v/>
      </c>
      <c r="AW16" s="418">
        <f>Annahmen!$C$80*Annahmen!$C$120*AW15+Annahmen!$C$80*(1-Annahmen!$C$120)*AW14+(1-Annahmen!$C$80)*AW13</f>
        <v/>
      </c>
      <c r="AX16" s="418">
        <f>Annahmen!$C$80*Annahmen!$C$120*AX15+Annahmen!$C$80*(1-Annahmen!$C$120)*AX14+(1-Annahmen!$C$80)*AX13</f>
        <v/>
      </c>
    </row>
    <row r="17" ht="15" customHeight="1">
      <c r="B17" s="314" t="inlineStr">
        <is>
          <t>AfA / Periode</t>
        </is>
      </c>
      <c r="C17" s="314" t="inlineStr">
        <is>
          <t>CAPEX F20/periods</t>
        </is>
      </c>
      <c r="D17" s="323">
        <f>CAPEX!$F$20/12</f>
        <v/>
      </c>
      <c r="E17" s="323">
        <f>CAPEX!$F$20/12</f>
        <v/>
      </c>
      <c r="F17" s="323">
        <f>CAPEX!$F$20/12</f>
        <v/>
      </c>
      <c r="G17" s="323">
        <f>CAPEX!$F$20/12</f>
        <v/>
      </c>
      <c r="H17" s="323">
        <f>CAPEX!$F$20/12</f>
        <v/>
      </c>
      <c r="I17" s="323">
        <f>CAPEX!$F$20/12</f>
        <v/>
      </c>
      <c r="J17" s="323">
        <f>CAPEX!$F$20/12</f>
        <v/>
      </c>
      <c r="K17" s="323">
        <f>CAPEX!$F$20/12</f>
        <v/>
      </c>
      <c r="L17" s="323">
        <f>CAPEX!$F$20/12</f>
        <v/>
      </c>
      <c r="M17" s="323">
        <f>CAPEX!$F$20/12</f>
        <v/>
      </c>
      <c r="N17" s="323">
        <f>CAPEX!$F$20/12</f>
        <v/>
      </c>
      <c r="O17" s="323">
        <f>CAPEX!$F$20/12</f>
        <v/>
      </c>
      <c r="P17" s="323">
        <f>CAPEX!$F$20/12</f>
        <v/>
      </c>
      <c r="Q17" s="323">
        <f>CAPEX!$F$20/12</f>
        <v/>
      </c>
      <c r="R17" s="323">
        <f>CAPEX!$F$20/12</f>
        <v/>
      </c>
      <c r="S17" s="323">
        <f>CAPEX!$F$20/12</f>
        <v/>
      </c>
      <c r="T17" s="323">
        <f>CAPEX!$F$20/12</f>
        <v/>
      </c>
      <c r="U17" s="323">
        <f>CAPEX!$F$20/12</f>
        <v/>
      </c>
      <c r="V17" s="323">
        <f>CAPEX!$F$20/12</f>
        <v/>
      </c>
      <c r="W17" s="323">
        <f>CAPEX!$F$20/12</f>
        <v/>
      </c>
      <c r="X17" s="323">
        <f>CAPEX!$F$20/12</f>
        <v/>
      </c>
      <c r="Y17" s="323">
        <f>CAPEX!$F$20/12</f>
        <v/>
      </c>
      <c r="Z17" s="323">
        <f>CAPEX!$F$20/12</f>
        <v/>
      </c>
      <c r="AA17" s="323">
        <f>CAPEX!$F$20/12</f>
        <v/>
      </c>
      <c r="AB17" s="323">
        <f>CAPEX!$F$20/12</f>
        <v/>
      </c>
      <c r="AC17" s="323">
        <f>CAPEX!$F$20/12</f>
        <v/>
      </c>
      <c r="AD17" s="323">
        <f>CAPEX!$F$20/12</f>
        <v/>
      </c>
      <c r="AE17" s="323">
        <f>CAPEX!$F$20/12</f>
        <v/>
      </c>
      <c r="AF17" s="323">
        <f>CAPEX!$F$20/12</f>
        <v/>
      </c>
      <c r="AG17" s="323">
        <f>CAPEX!$F$20/12</f>
        <v/>
      </c>
      <c r="AH17" s="323">
        <f>CAPEX!$F$20/12</f>
        <v/>
      </c>
      <c r="AI17" s="323">
        <f>CAPEX!$F$20/12</f>
        <v/>
      </c>
      <c r="AJ17" s="323">
        <f>CAPEX!$F$20/12</f>
        <v/>
      </c>
      <c r="AK17" s="323">
        <f>CAPEX!$F$20/12</f>
        <v/>
      </c>
      <c r="AL17" s="323">
        <f>CAPEX!$F$20/12</f>
        <v/>
      </c>
      <c r="AM17" s="323">
        <f>CAPEX!$F$20/12</f>
        <v/>
      </c>
      <c r="AQ17" s="323">
        <f>CAPEX!$F$20/4</f>
        <v/>
      </c>
      <c r="AR17" s="323">
        <f>CAPEX!$F$20/4</f>
        <v/>
      </c>
      <c r="AS17" s="323">
        <f>CAPEX!$F$20/4</f>
        <v/>
      </c>
      <c r="AT17" s="323">
        <f>CAPEX!$F$20/4</f>
        <v/>
      </c>
      <c r="AU17" s="323">
        <f>CAPEX!$F$20/4</f>
        <v/>
      </c>
      <c r="AV17" s="323">
        <f>CAPEX!$F$20/4</f>
        <v/>
      </c>
      <c r="AW17" s="323">
        <f>CAPEX!$F$20/4</f>
        <v/>
      </c>
      <c r="AX17" s="323">
        <f>CAPEX!$F$20/4</f>
        <v/>
      </c>
    </row>
    <row r="18" ht="15" customHeight="1">
      <c r="B18" s="406" t="inlineStr">
        <is>
          <t>Personal-Faktor</t>
        </is>
      </c>
      <c r="D18" s="423">
        <f>MAX(1,1+Annahmen!$C$212*(D7-Annahmen!$C$9)/Annahmen!$C$9)</f>
        <v/>
      </c>
      <c r="E18" s="423">
        <f>MAX(1,1+Annahmen!$C$212*(E7-Annahmen!$C$9)/Annahmen!$C$9)</f>
        <v/>
      </c>
      <c r="F18" s="423">
        <f>MAX(1,1+Annahmen!$C$212*(F7-Annahmen!$C$9)/Annahmen!$C$9)</f>
        <v/>
      </c>
      <c r="G18" s="423">
        <f>MAX(1,1+Annahmen!$C$212*(G7-Annahmen!$C$9)/Annahmen!$C$9)</f>
        <v/>
      </c>
      <c r="H18" s="423">
        <f>MAX(1,1+Annahmen!$C$212*(H7-Annahmen!$C$9)/Annahmen!$C$9)</f>
        <v/>
      </c>
      <c r="I18" s="423">
        <f>MAX(1,1+Annahmen!$C$212*(I7-Annahmen!$C$9)/Annahmen!$C$9)</f>
        <v/>
      </c>
      <c r="J18" s="423">
        <f>MAX(1,1+Annahmen!$C$212*(J7-Annahmen!$C$9)/Annahmen!$C$9)</f>
        <v/>
      </c>
      <c r="K18" s="423">
        <f>MAX(1,1+Annahmen!$C$212*(K7-Annahmen!$C$9)/Annahmen!$C$9)</f>
        <v/>
      </c>
      <c r="L18" s="423">
        <f>MAX(1,1+Annahmen!$C$212*(L7-Annahmen!$C$9)/Annahmen!$C$9)</f>
        <v/>
      </c>
      <c r="M18" s="423">
        <f>MAX(1,1+Annahmen!$C$212*(M7-Annahmen!$C$9)/Annahmen!$C$9)</f>
        <v/>
      </c>
      <c r="N18" s="423">
        <f>MAX(1,1+Annahmen!$C$212*(N7-Annahmen!$C$9)/Annahmen!$C$9)</f>
        <v/>
      </c>
      <c r="O18" s="423">
        <f>MAX(1,1+Annahmen!$C$212*(O7-Annahmen!$C$9)/Annahmen!$C$9)</f>
        <v/>
      </c>
      <c r="P18" s="423">
        <f>MAX(1,1+Annahmen!$C$212*(P7-Annahmen!$C$9)/Annahmen!$C$9)</f>
        <v/>
      </c>
      <c r="Q18" s="423">
        <f>MAX(1,1+Annahmen!$C$212*(Q7-Annahmen!$C$9)/Annahmen!$C$9)</f>
        <v/>
      </c>
      <c r="R18" s="423">
        <f>MAX(1,1+Annahmen!$C$212*(R7-Annahmen!$C$9)/Annahmen!$C$9)</f>
        <v/>
      </c>
      <c r="S18" s="423">
        <f>MAX(1,1+Annahmen!$C$212*(S7-Annahmen!$C$9)/Annahmen!$C$9)</f>
        <v/>
      </c>
      <c r="T18" s="423">
        <f>MAX(1,1+Annahmen!$C$212*(T7-Annahmen!$C$9)/Annahmen!$C$9)</f>
        <v/>
      </c>
      <c r="U18" s="423">
        <f>MAX(1,1+Annahmen!$C$212*(U7-Annahmen!$C$9)/Annahmen!$C$9)</f>
        <v/>
      </c>
      <c r="V18" s="423">
        <f>MAX(1,1+Annahmen!$C$212*(V7-Annahmen!$C$9)/Annahmen!$C$9)</f>
        <v/>
      </c>
      <c r="W18" s="423">
        <f>MAX(1,1+Annahmen!$C$212*(W7-Annahmen!$C$9)/Annahmen!$C$9)</f>
        <v/>
      </c>
      <c r="X18" s="423">
        <f>MAX(1,1+Annahmen!$C$212*(X7-Annahmen!$C$9)/Annahmen!$C$9)</f>
        <v/>
      </c>
      <c r="Y18" s="423">
        <f>MAX(1,1+Annahmen!$C$212*(Y7-Annahmen!$C$9)/Annahmen!$C$9)</f>
        <v/>
      </c>
      <c r="Z18" s="423">
        <f>MAX(1,1+Annahmen!$C$212*(Z7-Annahmen!$C$9)/Annahmen!$C$9)</f>
        <v/>
      </c>
      <c r="AA18" s="423">
        <f>MAX(1,1+Annahmen!$C$212*(AA7-Annahmen!$C$9)/Annahmen!$C$9)</f>
        <v/>
      </c>
      <c r="AB18" s="423">
        <f>MAX(1,1+Annahmen!$C$212*(AB7-Annahmen!$C$9)/Annahmen!$C$9)</f>
        <v/>
      </c>
      <c r="AC18" s="423">
        <f>MAX(1,1+Annahmen!$C$212*(AC7-Annahmen!$C$9)/Annahmen!$C$9)</f>
        <v/>
      </c>
      <c r="AD18" s="423">
        <f>MAX(1,1+Annahmen!$C$212*(AD7-Annahmen!$C$9)/Annahmen!$C$9)</f>
        <v/>
      </c>
      <c r="AE18" s="423">
        <f>MAX(1,1+Annahmen!$C$212*(AE7-Annahmen!$C$9)/Annahmen!$C$9)</f>
        <v/>
      </c>
      <c r="AF18" s="423">
        <f>MAX(1,1+Annahmen!$C$212*(AF7-Annahmen!$C$9)/Annahmen!$C$9)</f>
        <v/>
      </c>
      <c r="AG18" s="423">
        <f>MAX(1,1+Annahmen!$C$212*(AG7-Annahmen!$C$9)/Annahmen!$C$9)</f>
        <v/>
      </c>
      <c r="AH18" s="423">
        <f>MAX(1,1+Annahmen!$C$212*(AH7-Annahmen!$C$9)/Annahmen!$C$9)</f>
        <v/>
      </c>
      <c r="AI18" s="423">
        <f>MAX(1,1+Annahmen!$C$212*(AI7-Annahmen!$C$9)/Annahmen!$C$9)</f>
        <v/>
      </c>
      <c r="AJ18" s="423">
        <f>MAX(1,1+Annahmen!$C$212*(AJ7-Annahmen!$C$9)/Annahmen!$C$9)</f>
        <v/>
      </c>
      <c r="AK18" s="423">
        <f>MAX(1,1+Annahmen!$C$212*(AK7-Annahmen!$C$9)/Annahmen!$C$9)</f>
        <v/>
      </c>
      <c r="AL18" s="423">
        <f>MAX(1,1+Annahmen!$C$212*(AL7-Annahmen!$C$9)/Annahmen!$C$9)</f>
        <v/>
      </c>
      <c r="AM18" s="423">
        <f>MAX(1,1+Annahmen!$C$212*(AM7-Annahmen!$C$9)/Annahmen!$C$9)</f>
        <v/>
      </c>
      <c r="AQ18" s="423">
        <f>MAX(1,1+Annahmen!$C$212*(AQ7-Annahmen!$C$9)/Annahmen!$C$9)</f>
        <v/>
      </c>
      <c r="AR18" s="423">
        <f>MAX(1,1+Annahmen!$C$212*(AR7-Annahmen!$C$9)/Annahmen!$C$9)</f>
        <v/>
      </c>
      <c r="AS18" s="423">
        <f>MAX(1,1+Annahmen!$C$212*(AS7-Annahmen!$C$9)/Annahmen!$C$9)</f>
        <v/>
      </c>
      <c r="AT18" s="423">
        <f>MAX(1,1+Annahmen!$C$212*(AT7-Annahmen!$C$9)/Annahmen!$C$9)</f>
        <v/>
      </c>
      <c r="AU18" s="423">
        <f>MAX(1,1+Annahmen!$C$212*(AU7-Annahmen!$C$9)/Annahmen!$C$9)</f>
        <v/>
      </c>
      <c r="AV18" s="423">
        <f>MAX(1,1+Annahmen!$C$212*(AV7-Annahmen!$C$9)/Annahmen!$C$9)</f>
        <v/>
      </c>
      <c r="AW18" s="423">
        <f>MAX(1,1+Annahmen!$C$212*(AW7-Annahmen!$C$9)/Annahmen!$C$9)</f>
        <v/>
      </c>
      <c r="AX18" s="423">
        <f>MAX(1,1+Annahmen!$C$212*(AX7-Annahmen!$C$9)/Annahmen!$C$9)</f>
        <v/>
      </c>
    </row>
    <row r="19" ht="15" customHeight="1">
      <c r="B19" s="314" t="inlineStr">
        <is>
          <t>Personalkosten / Periode</t>
        </is>
      </c>
      <c r="D19" s="323">
        <f>'OPEX Fix'!$C$14*D18*(1+Annahmen!$C$34)^(D4-1)/12</f>
        <v/>
      </c>
      <c r="E19" s="323">
        <f>'OPEX Fix'!$C$14*E18*(1+Annahmen!$C$34)^(E4-1)/12</f>
        <v/>
      </c>
      <c r="F19" s="323">
        <f>'OPEX Fix'!$C$14*F18*(1+Annahmen!$C$34)^(F4-1)/12</f>
        <v/>
      </c>
      <c r="G19" s="323">
        <f>'OPEX Fix'!$C$14*G18*(1+Annahmen!$C$34)^(G4-1)/12</f>
        <v/>
      </c>
      <c r="H19" s="323">
        <f>'OPEX Fix'!$C$14*H18*(1+Annahmen!$C$34)^(H4-1)/12</f>
        <v/>
      </c>
      <c r="I19" s="323">
        <f>'OPEX Fix'!$C$14*I18*(1+Annahmen!$C$34)^(I4-1)/12</f>
        <v/>
      </c>
      <c r="J19" s="323">
        <f>'OPEX Fix'!$C$14*J18*(1+Annahmen!$C$34)^(J4-1)/12</f>
        <v/>
      </c>
      <c r="K19" s="323">
        <f>'OPEX Fix'!$C$14*K18*(1+Annahmen!$C$34)^(K4-1)/12</f>
        <v/>
      </c>
      <c r="L19" s="323">
        <f>'OPEX Fix'!$C$14*L18*(1+Annahmen!$C$34)^(L4-1)/12</f>
        <v/>
      </c>
      <c r="M19" s="323">
        <f>'OPEX Fix'!$C$14*M18*(1+Annahmen!$C$34)^(M4-1)/12</f>
        <v/>
      </c>
      <c r="N19" s="323">
        <f>'OPEX Fix'!$C$14*N18*(1+Annahmen!$C$34)^(N4-1)/12</f>
        <v/>
      </c>
      <c r="O19" s="323">
        <f>'OPEX Fix'!$C$14*O18*(1+Annahmen!$C$34)^(O4-1)/12</f>
        <v/>
      </c>
      <c r="P19" s="323">
        <f>'OPEX Fix'!$C$14*P18*(1+Annahmen!$C$34)^(P4-1)/12</f>
        <v/>
      </c>
      <c r="Q19" s="323">
        <f>'OPEX Fix'!$C$14*Q18*(1+Annahmen!$C$34)^(Q4-1)/12</f>
        <v/>
      </c>
      <c r="R19" s="323">
        <f>'OPEX Fix'!$C$14*R18*(1+Annahmen!$C$34)^(R4-1)/12</f>
        <v/>
      </c>
      <c r="S19" s="323">
        <f>'OPEX Fix'!$C$14*S18*(1+Annahmen!$C$34)^(S4-1)/12</f>
        <v/>
      </c>
      <c r="T19" s="323">
        <f>'OPEX Fix'!$C$14*T18*(1+Annahmen!$C$34)^(T4-1)/12</f>
        <v/>
      </c>
      <c r="U19" s="323">
        <f>'OPEX Fix'!$C$14*U18*(1+Annahmen!$C$34)^(U4-1)/12</f>
        <v/>
      </c>
      <c r="V19" s="323">
        <f>'OPEX Fix'!$C$14*V18*(1+Annahmen!$C$34)^(V4-1)/12</f>
        <v/>
      </c>
      <c r="W19" s="323">
        <f>'OPEX Fix'!$C$14*W18*(1+Annahmen!$C$34)^(W4-1)/12</f>
        <v/>
      </c>
      <c r="X19" s="323">
        <f>'OPEX Fix'!$C$14*X18*(1+Annahmen!$C$34)^(X4-1)/12</f>
        <v/>
      </c>
      <c r="Y19" s="323">
        <f>'OPEX Fix'!$C$14*Y18*(1+Annahmen!$C$34)^(Y4-1)/12</f>
        <v/>
      </c>
      <c r="Z19" s="323">
        <f>'OPEX Fix'!$C$14*Z18*(1+Annahmen!$C$34)^(Z4-1)/12</f>
        <v/>
      </c>
      <c r="AA19" s="323">
        <f>'OPEX Fix'!$C$14*AA18*(1+Annahmen!$C$34)^(AA4-1)/12</f>
        <v/>
      </c>
      <c r="AB19" s="323">
        <f>'OPEX Fix'!$C$14*AB18*(1+Annahmen!$C$34)^(AB4-1)/12</f>
        <v/>
      </c>
      <c r="AC19" s="323">
        <f>'OPEX Fix'!$C$14*AC18*(1+Annahmen!$C$34)^(AC4-1)/12</f>
        <v/>
      </c>
      <c r="AD19" s="323">
        <f>'OPEX Fix'!$C$14*AD18*(1+Annahmen!$C$34)^(AD4-1)/12</f>
        <v/>
      </c>
      <c r="AE19" s="323">
        <f>'OPEX Fix'!$C$14*AE18*(1+Annahmen!$C$34)^(AE4-1)/12</f>
        <v/>
      </c>
      <c r="AF19" s="323">
        <f>'OPEX Fix'!$C$14*AF18*(1+Annahmen!$C$34)^(AF4-1)/12</f>
        <v/>
      </c>
      <c r="AG19" s="323">
        <f>'OPEX Fix'!$C$14*AG18*(1+Annahmen!$C$34)^(AG4-1)/12</f>
        <v/>
      </c>
      <c r="AH19" s="323">
        <f>'OPEX Fix'!$C$14*AH18*(1+Annahmen!$C$34)^(AH4-1)/12</f>
        <v/>
      </c>
      <c r="AI19" s="323">
        <f>'OPEX Fix'!$C$14*AI18*(1+Annahmen!$C$34)^(AI4-1)/12</f>
        <v/>
      </c>
      <c r="AJ19" s="323">
        <f>'OPEX Fix'!$C$14*AJ18*(1+Annahmen!$C$34)^(AJ4-1)/12</f>
        <v/>
      </c>
      <c r="AK19" s="323">
        <f>'OPEX Fix'!$C$14*AK18*(1+Annahmen!$C$34)^(AK4-1)/12</f>
        <v/>
      </c>
      <c r="AL19" s="323">
        <f>'OPEX Fix'!$C$14*AL18*(1+Annahmen!$C$34)^(AL4-1)/12</f>
        <v/>
      </c>
      <c r="AM19" s="323">
        <f>'OPEX Fix'!$C$14*AM18*(1+Annahmen!$C$34)^(AM4-1)/12</f>
        <v/>
      </c>
      <c r="AQ19" s="323">
        <f>'OPEX Fix'!$C$14*AQ18*(1+Annahmen!$C$34)^(AQ4-1)/4</f>
        <v/>
      </c>
      <c r="AR19" s="323">
        <f>'OPEX Fix'!$C$14*AR18*(1+Annahmen!$C$34)^(AR4-1)/4</f>
        <v/>
      </c>
      <c r="AS19" s="323">
        <f>'OPEX Fix'!$C$14*AS18*(1+Annahmen!$C$34)^(AS4-1)/4</f>
        <v/>
      </c>
      <c r="AT19" s="323">
        <f>'OPEX Fix'!$C$14*AT18*(1+Annahmen!$C$34)^(AT4-1)/4</f>
        <v/>
      </c>
      <c r="AU19" s="323">
        <f>'OPEX Fix'!$C$14*AU18*(1+Annahmen!$C$34)^(AU4-1)/4</f>
        <v/>
      </c>
      <c r="AV19" s="323">
        <f>'OPEX Fix'!$C$14*AV18*(1+Annahmen!$C$34)^(AV4-1)/4</f>
        <v/>
      </c>
      <c r="AW19" s="323">
        <f>'OPEX Fix'!$C$14*AW18*(1+Annahmen!$C$34)^(AW4-1)/4</f>
        <v/>
      </c>
      <c r="AX19" s="323">
        <f>'OPEX Fix'!$C$14*AX18*(1+Annahmen!$C$34)^(AX4-1)/4</f>
        <v/>
      </c>
    </row>
    <row r="20" ht="15" customHeight="1">
      <c r="B20" s="406" t="inlineStr">
        <is>
          <t>Fixe Betriebskosten / Periode</t>
        </is>
      </c>
      <c r="D20" s="410">
        <f>'OPEX Fix'!$C$26*(1+Annahmen!$C$34)^(D4-1)/12</f>
        <v/>
      </c>
      <c r="E20" s="410">
        <f>'OPEX Fix'!$C$26*(1+Annahmen!$C$34)^(E4-1)/12</f>
        <v/>
      </c>
      <c r="F20" s="410">
        <f>'OPEX Fix'!$C$26*(1+Annahmen!$C$34)^(F4-1)/12</f>
        <v/>
      </c>
      <c r="G20" s="410">
        <f>'OPEX Fix'!$C$26*(1+Annahmen!$C$34)^(G4-1)/12</f>
        <v/>
      </c>
      <c r="H20" s="410">
        <f>'OPEX Fix'!$C$26*(1+Annahmen!$C$34)^(H4-1)/12</f>
        <v/>
      </c>
      <c r="I20" s="410">
        <f>'OPEX Fix'!$C$26*(1+Annahmen!$C$34)^(I4-1)/12</f>
        <v/>
      </c>
      <c r="J20" s="410">
        <f>'OPEX Fix'!$C$26*(1+Annahmen!$C$34)^(J4-1)/12</f>
        <v/>
      </c>
      <c r="K20" s="410">
        <f>'OPEX Fix'!$C$26*(1+Annahmen!$C$34)^(K4-1)/12</f>
        <v/>
      </c>
      <c r="L20" s="410">
        <f>'OPEX Fix'!$C$26*(1+Annahmen!$C$34)^(L4-1)/12</f>
        <v/>
      </c>
      <c r="M20" s="410">
        <f>'OPEX Fix'!$C$26*(1+Annahmen!$C$34)^(M4-1)/12</f>
        <v/>
      </c>
      <c r="N20" s="410">
        <f>'OPEX Fix'!$C$26*(1+Annahmen!$C$34)^(N4-1)/12</f>
        <v/>
      </c>
      <c r="O20" s="410">
        <f>'OPEX Fix'!$C$26*(1+Annahmen!$C$34)^(O4-1)/12</f>
        <v/>
      </c>
      <c r="P20" s="410">
        <f>'OPEX Fix'!$C$26*(1+Annahmen!$C$34)^(P4-1)/12</f>
        <v/>
      </c>
      <c r="Q20" s="410">
        <f>'OPEX Fix'!$C$26*(1+Annahmen!$C$34)^(Q4-1)/12</f>
        <v/>
      </c>
      <c r="R20" s="410">
        <f>'OPEX Fix'!$C$26*(1+Annahmen!$C$34)^(R4-1)/12</f>
        <v/>
      </c>
      <c r="S20" s="410">
        <f>'OPEX Fix'!$C$26*(1+Annahmen!$C$34)^(S4-1)/12</f>
        <v/>
      </c>
      <c r="T20" s="410">
        <f>'OPEX Fix'!$C$26*(1+Annahmen!$C$34)^(T4-1)/12</f>
        <v/>
      </c>
      <c r="U20" s="410">
        <f>'OPEX Fix'!$C$26*(1+Annahmen!$C$34)^(U4-1)/12</f>
        <v/>
      </c>
      <c r="V20" s="410">
        <f>'OPEX Fix'!$C$26*(1+Annahmen!$C$34)^(V4-1)/12</f>
        <v/>
      </c>
      <c r="W20" s="410">
        <f>'OPEX Fix'!$C$26*(1+Annahmen!$C$34)^(W4-1)/12</f>
        <v/>
      </c>
      <c r="X20" s="410">
        <f>'OPEX Fix'!$C$26*(1+Annahmen!$C$34)^(X4-1)/12</f>
        <v/>
      </c>
      <c r="Y20" s="410">
        <f>'OPEX Fix'!$C$26*(1+Annahmen!$C$34)^(Y4-1)/12</f>
        <v/>
      </c>
      <c r="Z20" s="410">
        <f>'OPEX Fix'!$C$26*(1+Annahmen!$C$34)^(Z4-1)/12</f>
        <v/>
      </c>
      <c r="AA20" s="410">
        <f>'OPEX Fix'!$C$26*(1+Annahmen!$C$34)^(AA4-1)/12</f>
        <v/>
      </c>
      <c r="AB20" s="410">
        <f>'OPEX Fix'!$C$26*(1+Annahmen!$C$34)^(AB4-1)/12</f>
        <v/>
      </c>
      <c r="AC20" s="410">
        <f>'OPEX Fix'!$C$26*(1+Annahmen!$C$34)^(AC4-1)/12</f>
        <v/>
      </c>
      <c r="AD20" s="410">
        <f>'OPEX Fix'!$C$26*(1+Annahmen!$C$34)^(AD4-1)/12</f>
        <v/>
      </c>
      <c r="AE20" s="410">
        <f>'OPEX Fix'!$C$26*(1+Annahmen!$C$34)^(AE4-1)/12</f>
        <v/>
      </c>
      <c r="AF20" s="410">
        <f>'OPEX Fix'!$C$26*(1+Annahmen!$C$34)^(AF4-1)/12</f>
        <v/>
      </c>
      <c r="AG20" s="410">
        <f>'OPEX Fix'!$C$26*(1+Annahmen!$C$34)^(AG4-1)/12</f>
        <v/>
      </c>
      <c r="AH20" s="410">
        <f>'OPEX Fix'!$C$26*(1+Annahmen!$C$34)^(AH4-1)/12</f>
        <v/>
      </c>
      <c r="AI20" s="410">
        <f>'OPEX Fix'!$C$26*(1+Annahmen!$C$34)^(AI4-1)/12</f>
        <v/>
      </c>
      <c r="AJ20" s="410">
        <f>'OPEX Fix'!$C$26*(1+Annahmen!$C$34)^(AJ4-1)/12</f>
        <v/>
      </c>
      <c r="AK20" s="410">
        <f>'OPEX Fix'!$C$26*(1+Annahmen!$C$34)^(AK4-1)/12</f>
        <v/>
      </c>
      <c r="AL20" s="410">
        <f>'OPEX Fix'!$C$26*(1+Annahmen!$C$34)^(AL4-1)/12</f>
        <v/>
      </c>
      <c r="AM20" s="410">
        <f>'OPEX Fix'!$C$26*(1+Annahmen!$C$34)^(AM4-1)/12</f>
        <v/>
      </c>
      <c r="AQ20" s="410">
        <f>'OPEX Fix'!$C$26*(1+Annahmen!$C$34)^(AQ4-1)/4</f>
        <v/>
      </c>
      <c r="AR20" s="410">
        <f>'OPEX Fix'!$C$26*(1+Annahmen!$C$34)^(AR4-1)/4</f>
        <v/>
      </c>
      <c r="AS20" s="410">
        <f>'OPEX Fix'!$C$26*(1+Annahmen!$C$34)^(AS4-1)/4</f>
        <v/>
      </c>
      <c r="AT20" s="410">
        <f>'OPEX Fix'!$C$26*(1+Annahmen!$C$34)^(AT4-1)/4</f>
        <v/>
      </c>
      <c r="AU20" s="410">
        <f>'OPEX Fix'!$C$26*(1+Annahmen!$C$34)^(AU4-1)/4</f>
        <v/>
      </c>
      <c r="AV20" s="410">
        <f>'OPEX Fix'!$C$26*(1+Annahmen!$C$34)^(AV4-1)/4</f>
        <v/>
      </c>
      <c r="AW20" s="410">
        <f>'OPEX Fix'!$C$26*(1+Annahmen!$C$34)^(AW4-1)/4</f>
        <v/>
      </c>
      <c r="AX20" s="410">
        <f>'OPEX Fix'!$C$26*(1+Annahmen!$C$34)^(AX4-1)/4</f>
        <v/>
      </c>
    </row>
    <row r="21" ht="15" customHeight="1">
      <c r="B21" s="314" t="inlineStr">
        <is>
          <t>Bankdarlehen Restschuld</t>
        </is>
      </c>
      <c r="D21" s="323">
        <f>Annahmen!$C$43*CAPEX!$C$20</f>
        <v/>
      </c>
      <c r="E21" s="323">
        <f>MAX(0,D21-D22)</f>
        <v/>
      </c>
      <c r="F21" s="323">
        <f>MAX(0,E21-E22)</f>
        <v/>
      </c>
      <c r="G21" s="323">
        <f>MAX(0,F21-F22)</f>
        <v/>
      </c>
      <c r="H21" s="323">
        <f>MAX(0,G21-G22)</f>
        <v/>
      </c>
      <c r="I21" s="323">
        <f>MAX(0,H21-H22)</f>
        <v/>
      </c>
      <c r="J21" s="323">
        <f>MAX(0,I21-I22)</f>
        <v/>
      </c>
      <c r="K21" s="323">
        <f>MAX(0,J21-J22)</f>
        <v/>
      </c>
      <c r="L21" s="323">
        <f>MAX(0,K21-K22)</f>
        <v/>
      </c>
      <c r="M21" s="323">
        <f>MAX(0,L21-L22)</f>
        <v/>
      </c>
      <c r="N21" s="323">
        <f>MAX(0,M21-M22)</f>
        <v/>
      </c>
      <c r="O21" s="323">
        <f>MAX(0,N21-N22)</f>
        <v/>
      </c>
      <c r="P21" s="323">
        <f>MAX(0,O21-O22)</f>
        <v/>
      </c>
      <c r="Q21" s="323">
        <f>MAX(0,P21-P22)</f>
        <v/>
      </c>
      <c r="R21" s="323">
        <f>MAX(0,Q21-Q22)</f>
        <v/>
      </c>
      <c r="S21" s="323">
        <f>MAX(0,R21-R22)</f>
        <v/>
      </c>
      <c r="T21" s="323">
        <f>MAX(0,S21-S22)</f>
        <v/>
      </c>
      <c r="U21" s="323">
        <f>MAX(0,T21-T22)</f>
        <v/>
      </c>
      <c r="V21" s="323">
        <f>MAX(0,U21-U22)</f>
        <v/>
      </c>
      <c r="W21" s="323">
        <f>MAX(0,V21-V22)</f>
        <v/>
      </c>
      <c r="X21" s="323">
        <f>MAX(0,W21-W22)</f>
        <v/>
      </c>
      <c r="Y21" s="323">
        <f>MAX(0,X21-X22)</f>
        <v/>
      </c>
      <c r="Z21" s="323">
        <f>MAX(0,Y21-Y22)</f>
        <v/>
      </c>
      <c r="AA21" s="323">
        <f>MAX(0,Z21-Z22)</f>
        <v/>
      </c>
      <c r="AB21" s="323">
        <f>MAX(0,AA21-AA22)</f>
        <v/>
      </c>
      <c r="AC21" s="323">
        <f>MAX(0,AB21-AB22)</f>
        <v/>
      </c>
      <c r="AD21" s="323">
        <f>MAX(0,AC21-AC22)</f>
        <v/>
      </c>
      <c r="AE21" s="323">
        <f>MAX(0,AD21-AD22)</f>
        <v/>
      </c>
      <c r="AF21" s="323">
        <f>MAX(0,AE21-AE22)</f>
        <v/>
      </c>
      <c r="AG21" s="323">
        <f>MAX(0,AF21-AF22)</f>
        <v/>
      </c>
      <c r="AH21" s="323">
        <f>MAX(0,AG21-AG22)</f>
        <v/>
      </c>
      <c r="AI21" s="323">
        <f>MAX(0,AH21-AH22)</f>
        <v/>
      </c>
      <c r="AJ21" s="323">
        <f>MAX(0,AI21-AI22)</f>
        <v/>
      </c>
      <c r="AK21" s="323">
        <f>MAX(0,AJ21-AJ22)</f>
        <v/>
      </c>
      <c r="AL21" s="323">
        <f>MAX(0,AK21-AK22)</f>
        <v/>
      </c>
      <c r="AM21" s="323">
        <f>MAX(0,AL21-AL22)</f>
        <v/>
      </c>
      <c r="AQ21" s="323">
        <f>MAX(0,AM21-AM22)</f>
        <v/>
      </c>
      <c r="AR21" s="323">
        <f>MAX(0,AQ21-AQ22)</f>
        <v/>
      </c>
      <c r="AS21" s="323">
        <f>MAX(0,AR21-AR22)</f>
        <v/>
      </c>
      <c r="AT21" s="323">
        <f>MAX(0,AS21-AS22)</f>
        <v/>
      </c>
      <c r="AU21" s="323">
        <f>MAX(0,AT21-AT22)</f>
        <v/>
      </c>
      <c r="AV21" s="323">
        <f>MAX(0,AU21-AU22)</f>
        <v/>
      </c>
      <c r="AW21" s="323">
        <f>MAX(0,AV21-AV22)</f>
        <v/>
      </c>
      <c r="AX21" s="323">
        <f>MAX(0,AW21-AW22)</f>
        <v/>
      </c>
    </row>
    <row r="22" ht="15" customHeight="1">
      <c r="B22" s="406" t="inlineStr">
        <is>
          <t>Bankdarlehen Tilgung/Periode</t>
        </is>
      </c>
      <c r="D22" s="410">
        <f>MIN(D21,Annahmen!$C$43*CAPEX!$C$20/(Annahmen!$C$47*12)*1)</f>
        <v/>
      </c>
      <c r="E22" s="410">
        <f>MIN(E21,Annahmen!$C$43*CAPEX!$C$20/(Annahmen!$C$47*12)*1)</f>
        <v/>
      </c>
      <c r="F22" s="410">
        <f>MIN(F21,Annahmen!$C$43*CAPEX!$C$20/(Annahmen!$C$47*12)*1)</f>
        <v/>
      </c>
      <c r="G22" s="410">
        <f>MIN(G21,Annahmen!$C$43*CAPEX!$C$20/(Annahmen!$C$47*12)*1)</f>
        <v/>
      </c>
      <c r="H22" s="410">
        <f>MIN(H21,Annahmen!$C$43*CAPEX!$C$20/(Annahmen!$C$47*12)*1)</f>
        <v/>
      </c>
      <c r="I22" s="410">
        <f>MIN(I21,Annahmen!$C$43*CAPEX!$C$20/(Annahmen!$C$47*12)*1)</f>
        <v/>
      </c>
      <c r="J22" s="410">
        <f>MIN(J21,Annahmen!$C$43*CAPEX!$C$20/(Annahmen!$C$47*12)*1)</f>
        <v/>
      </c>
      <c r="K22" s="410">
        <f>MIN(K21,Annahmen!$C$43*CAPEX!$C$20/(Annahmen!$C$47*12)*1)</f>
        <v/>
      </c>
      <c r="L22" s="410">
        <f>MIN(L21,Annahmen!$C$43*CAPEX!$C$20/(Annahmen!$C$47*12)*1)</f>
        <v/>
      </c>
      <c r="M22" s="410">
        <f>MIN(M21,Annahmen!$C$43*CAPEX!$C$20/(Annahmen!$C$47*12)*1)</f>
        <v/>
      </c>
      <c r="N22" s="410">
        <f>MIN(N21,Annahmen!$C$43*CAPEX!$C$20/(Annahmen!$C$47*12)*1)</f>
        <v/>
      </c>
      <c r="O22" s="410">
        <f>MIN(O21,Annahmen!$C$43*CAPEX!$C$20/(Annahmen!$C$47*12)*1)</f>
        <v/>
      </c>
      <c r="P22" s="410">
        <f>MIN(P21,Annahmen!$C$43*CAPEX!$C$20/(Annahmen!$C$47*12)*1)</f>
        <v/>
      </c>
      <c r="Q22" s="410">
        <f>MIN(Q21,Annahmen!$C$43*CAPEX!$C$20/(Annahmen!$C$47*12)*1)</f>
        <v/>
      </c>
      <c r="R22" s="410">
        <f>MIN(R21,Annahmen!$C$43*CAPEX!$C$20/(Annahmen!$C$47*12)*1)</f>
        <v/>
      </c>
      <c r="S22" s="410">
        <f>MIN(S21,Annahmen!$C$43*CAPEX!$C$20/(Annahmen!$C$47*12)*1)</f>
        <v/>
      </c>
      <c r="T22" s="410">
        <f>MIN(T21,Annahmen!$C$43*CAPEX!$C$20/(Annahmen!$C$47*12)*1)</f>
        <v/>
      </c>
      <c r="U22" s="410">
        <f>MIN(U21,Annahmen!$C$43*CAPEX!$C$20/(Annahmen!$C$47*12)*1)</f>
        <v/>
      </c>
      <c r="V22" s="410">
        <f>MIN(V21,Annahmen!$C$43*CAPEX!$C$20/(Annahmen!$C$47*12)*1)</f>
        <v/>
      </c>
      <c r="W22" s="410">
        <f>MIN(W21,Annahmen!$C$43*CAPEX!$C$20/(Annahmen!$C$47*12)*1)</f>
        <v/>
      </c>
      <c r="X22" s="410">
        <f>MIN(X21,Annahmen!$C$43*CAPEX!$C$20/(Annahmen!$C$47*12)*1)</f>
        <v/>
      </c>
      <c r="Y22" s="410">
        <f>MIN(Y21,Annahmen!$C$43*CAPEX!$C$20/(Annahmen!$C$47*12)*1)</f>
        <v/>
      </c>
      <c r="Z22" s="410">
        <f>MIN(Z21,Annahmen!$C$43*CAPEX!$C$20/(Annahmen!$C$47*12)*1)</f>
        <v/>
      </c>
      <c r="AA22" s="410">
        <f>MIN(AA21,Annahmen!$C$43*CAPEX!$C$20/(Annahmen!$C$47*12)*1)</f>
        <v/>
      </c>
      <c r="AB22" s="410">
        <f>MIN(AB21,Annahmen!$C$43*CAPEX!$C$20/(Annahmen!$C$47*12)*1)</f>
        <v/>
      </c>
      <c r="AC22" s="410">
        <f>MIN(AC21,Annahmen!$C$43*CAPEX!$C$20/(Annahmen!$C$47*12)*1)</f>
        <v/>
      </c>
      <c r="AD22" s="410">
        <f>MIN(AD21,Annahmen!$C$43*CAPEX!$C$20/(Annahmen!$C$47*12)*1)</f>
        <v/>
      </c>
      <c r="AE22" s="410">
        <f>MIN(AE21,Annahmen!$C$43*CAPEX!$C$20/(Annahmen!$C$47*12)*1)</f>
        <v/>
      </c>
      <c r="AF22" s="410">
        <f>MIN(AF21,Annahmen!$C$43*CAPEX!$C$20/(Annahmen!$C$47*12)*1)</f>
        <v/>
      </c>
      <c r="AG22" s="410">
        <f>MIN(AG21,Annahmen!$C$43*CAPEX!$C$20/(Annahmen!$C$47*12)*1)</f>
        <v/>
      </c>
      <c r="AH22" s="410">
        <f>MIN(AH21,Annahmen!$C$43*CAPEX!$C$20/(Annahmen!$C$47*12)*1)</f>
        <v/>
      </c>
      <c r="AI22" s="410">
        <f>MIN(AI21,Annahmen!$C$43*CAPEX!$C$20/(Annahmen!$C$47*12)*1)</f>
        <v/>
      </c>
      <c r="AJ22" s="410">
        <f>MIN(AJ21,Annahmen!$C$43*CAPEX!$C$20/(Annahmen!$C$47*12)*1)</f>
        <v/>
      </c>
      <c r="AK22" s="410">
        <f>MIN(AK21,Annahmen!$C$43*CAPEX!$C$20/(Annahmen!$C$47*12)*1)</f>
        <v/>
      </c>
      <c r="AL22" s="410">
        <f>MIN(AL21,Annahmen!$C$43*CAPEX!$C$20/(Annahmen!$C$47*12)*1)</f>
        <v/>
      </c>
      <c r="AM22" s="410">
        <f>MIN(AM21,Annahmen!$C$43*CAPEX!$C$20/(Annahmen!$C$47*12)*1)</f>
        <v/>
      </c>
      <c r="AQ22" s="410">
        <f>MIN(AQ21,Annahmen!$C$43*CAPEX!$C$20/(Annahmen!$C$47*12)*3)</f>
        <v/>
      </c>
      <c r="AR22" s="410">
        <f>MIN(AR21,Annahmen!$C$43*CAPEX!$C$20/(Annahmen!$C$47*12)*3)</f>
        <v/>
      </c>
      <c r="AS22" s="410">
        <f>MIN(AS21,Annahmen!$C$43*CAPEX!$C$20/(Annahmen!$C$47*12)*3)</f>
        <v/>
      </c>
      <c r="AT22" s="410">
        <f>MIN(AT21,Annahmen!$C$43*CAPEX!$C$20/(Annahmen!$C$47*12)*3)</f>
        <v/>
      </c>
      <c r="AU22" s="410">
        <f>MIN(AU21,Annahmen!$C$43*CAPEX!$C$20/(Annahmen!$C$47*12)*3)</f>
        <v/>
      </c>
      <c r="AV22" s="410">
        <f>MIN(AV21,Annahmen!$C$43*CAPEX!$C$20/(Annahmen!$C$47*12)*3)</f>
        <v/>
      </c>
      <c r="AW22" s="410">
        <f>MIN(AW21,Annahmen!$C$43*CAPEX!$C$20/(Annahmen!$C$47*12)*3)</f>
        <v/>
      </c>
      <c r="AX22" s="410">
        <f>MIN(AX21,Annahmen!$C$43*CAPEX!$C$20/(Annahmen!$C$47*12)*3)</f>
        <v/>
      </c>
    </row>
    <row r="23" ht="15" customHeight="1">
      <c r="B23" s="314" t="inlineStr">
        <is>
          <t>Bankdarlehen Zinsen/Periode</t>
        </is>
      </c>
      <c r="D23" s="323">
        <f>D21*Annahmen!$C$46/12</f>
        <v/>
      </c>
      <c r="E23" s="323">
        <f>E21*Annahmen!$C$46/12</f>
        <v/>
      </c>
      <c r="F23" s="323">
        <f>F21*Annahmen!$C$46/12</f>
        <v/>
      </c>
      <c r="G23" s="323">
        <f>G21*Annahmen!$C$46/12</f>
        <v/>
      </c>
      <c r="H23" s="323">
        <f>H21*Annahmen!$C$46/12</f>
        <v/>
      </c>
      <c r="I23" s="323">
        <f>I21*Annahmen!$C$46/12</f>
        <v/>
      </c>
      <c r="J23" s="323">
        <f>J21*Annahmen!$C$46/12</f>
        <v/>
      </c>
      <c r="K23" s="323">
        <f>K21*Annahmen!$C$46/12</f>
        <v/>
      </c>
      <c r="L23" s="323">
        <f>L21*Annahmen!$C$46/12</f>
        <v/>
      </c>
      <c r="M23" s="323">
        <f>M21*Annahmen!$C$46/12</f>
        <v/>
      </c>
      <c r="N23" s="323">
        <f>N21*Annahmen!$C$46/12</f>
        <v/>
      </c>
      <c r="O23" s="323">
        <f>O21*Annahmen!$C$46/12</f>
        <v/>
      </c>
      <c r="P23" s="323">
        <f>P21*Annahmen!$C$46/12</f>
        <v/>
      </c>
      <c r="Q23" s="323">
        <f>Q21*Annahmen!$C$46/12</f>
        <v/>
      </c>
      <c r="R23" s="323">
        <f>R21*Annahmen!$C$46/12</f>
        <v/>
      </c>
      <c r="S23" s="323">
        <f>S21*Annahmen!$C$46/12</f>
        <v/>
      </c>
      <c r="T23" s="323">
        <f>T21*Annahmen!$C$46/12</f>
        <v/>
      </c>
      <c r="U23" s="323">
        <f>U21*Annahmen!$C$46/12</f>
        <v/>
      </c>
      <c r="V23" s="323">
        <f>V21*Annahmen!$C$46/12</f>
        <v/>
      </c>
      <c r="W23" s="323">
        <f>W21*Annahmen!$C$46/12</f>
        <v/>
      </c>
      <c r="X23" s="323">
        <f>X21*Annahmen!$C$46/12</f>
        <v/>
      </c>
      <c r="Y23" s="323">
        <f>Y21*Annahmen!$C$46/12</f>
        <v/>
      </c>
      <c r="Z23" s="323">
        <f>Z21*Annahmen!$C$46/12</f>
        <v/>
      </c>
      <c r="AA23" s="323">
        <f>AA21*Annahmen!$C$46/12</f>
        <v/>
      </c>
      <c r="AB23" s="323">
        <f>AB21*Annahmen!$C$46/12</f>
        <v/>
      </c>
      <c r="AC23" s="323">
        <f>AC21*Annahmen!$C$46/12</f>
        <v/>
      </c>
      <c r="AD23" s="323">
        <f>AD21*Annahmen!$C$46/12</f>
        <v/>
      </c>
      <c r="AE23" s="323">
        <f>AE21*Annahmen!$C$46/12</f>
        <v/>
      </c>
      <c r="AF23" s="323">
        <f>AF21*Annahmen!$C$46/12</f>
        <v/>
      </c>
      <c r="AG23" s="323">
        <f>AG21*Annahmen!$C$46/12</f>
        <v/>
      </c>
      <c r="AH23" s="323">
        <f>AH21*Annahmen!$C$46/12</f>
        <v/>
      </c>
      <c r="AI23" s="323">
        <f>AI21*Annahmen!$C$46/12</f>
        <v/>
      </c>
      <c r="AJ23" s="323">
        <f>AJ21*Annahmen!$C$46/12</f>
        <v/>
      </c>
      <c r="AK23" s="323">
        <f>AK21*Annahmen!$C$46/12</f>
        <v/>
      </c>
      <c r="AL23" s="323">
        <f>AL21*Annahmen!$C$46/12</f>
        <v/>
      </c>
      <c r="AM23" s="323">
        <f>AM21*Annahmen!$C$46/12</f>
        <v/>
      </c>
      <c r="AQ23" s="323">
        <f>AQ21*Annahmen!$C$46/4</f>
        <v/>
      </c>
      <c r="AR23" s="323">
        <f>AR21*Annahmen!$C$46/4</f>
        <v/>
      </c>
      <c r="AS23" s="323">
        <f>AS21*Annahmen!$C$46/4</f>
        <v/>
      </c>
      <c r="AT23" s="323">
        <f>AT21*Annahmen!$C$46/4</f>
        <v/>
      </c>
      <c r="AU23" s="323">
        <f>AU21*Annahmen!$C$46/4</f>
        <v/>
      </c>
      <c r="AV23" s="323">
        <f>AV21*Annahmen!$C$46/4</f>
        <v/>
      </c>
      <c r="AW23" s="323">
        <f>AW21*Annahmen!$C$46/4</f>
        <v/>
      </c>
      <c r="AX23" s="323">
        <f>AX21*Annahmen!$C$46/4</f>
        <v/>
      </c>
    </row>
    <row r="24" ht="15" customHeight="1">
      <c r="B24" s="406" t="inlineStr">
        <is>
          <t>KfW Restschuld</t>
        </is>
      </c>
      <c r="D24" s="410">
        <f>Annahmen!$C$45*CAPEX!$C$20</f>
        <v/>
      </c>
      <c r="E24" s="410">
        <f>MAX(0,D24-D25)</f>
        <v/>
      </c>
      <c r="F24" s="410">
        <f>MAX(0,E24-E25)</f>
        <v/>
      </c>
      <c r="G24" s="410">
        <f>MAX(0,F24-F25)</f>
        <v/>
      </c>
      <c r="H24" s="410">
        <f>MAX(0,G24-G25)</f>
        <v/>
      </c>
      <c r="I24" s="410">
        <f>MAX(0,H24-H25)</f>
        <v/>
      </c>
      <c r="J24" s="410">
        <f>MAX(0,I24-I25)</f>
        <v/>
      </c>
      <c r="K24" s="410">
        <f>MAX(0,J24-J25)</f>
        <v/>
      </c>
      <c r="L24" s="410">
        <f>MAX(0,K24-K25)</f>
        <v/>
      </c>
      <c r="M24" s="410">
        <f>MAX(0,L24-L25)</f>
        <v/>
      </c>
      <c r="N24" s="410">
        <f>MAX(0,M24-M25)</f>
        <v/>
      </c>
      <c r="O24" s="410">
        <f>MAX(0,N24-N25)</f>
        <v/>
      </c>
      <c r="P24" s="410">
        <f>MAX(0,O24-O25)</f>
        <v/>
      </c>
      <c r="Q24" s="410">
        <f>MAX(0,P24-P25)</f>
        <v/>
      </c>
      <c r="R24" s="410">
        <f>MAX(0,Q24-Q25)</f>
        <v/>
      </c>
      <c r="S24" s="410">
        <f>MAX(0,R24-R25)</f>
        <v/>
      </c>
      <c r="T24" s="410">
        <f>MAX(0,S24-S25)</f>
        <v/>
      </c>
      <c r="U24" s="410">
        <f>MAX(0,T24-T25)</f>
        <v/>
      </c>
      <c r="V24" s="410">
        <f>MAX(0,U24-U25)</f>
        <v/>
      </c>
      <c r="W24" s="410">
        <f>MAX(0,V24-V25)</f>
        <v/>
      </c>
      <c r="X24" s="410">
        <f>MAX(0,W24-W25)</f>
        <v/>
      </c>
      <c r="Y24" s="410">
        <f>MAX(0,X24-X25)</f>
        <v/>
      </c>
      <c r="Z24" s="410">
        <f>MAX(0,Y24-Y25)</f>
        <v/>
      </c>
      <c r="AA24" s="410">
        <f>MAX(0,Z24-Z25)</f>
        <v/>
      </c>
      <c r="AB24" s="410">
        <f>MAX(0,AA24-AA25)</f>
        <v/>
      </c>
      <c r="AC24" s="410">
        <f>MAX(0,AB24-AB25)</f>
        <v/>
      </c>
      <c r="AD24" s="410">
        <f>MAX(0,AC24-AC25)</f>
        <v/>
      </c>
      <c r="AE24" s="410">
        <f>MAX(0,AD24-AD25)</f>
        <v/>
      </c>
      <c r="AF24" s="410">
        <f>MAX(0,AE24-AE25)</f>
        <v/>
      </c>
      <c r="AG24" s="410">
        <f>MAX(0,AF24-AF25)</f>
        <v/>
      </c>
      <c r="AH24" s="410">
        <f>MAX(0,AG24-AG25)</f>
        <v/>
      </c>
      <c r="AI24" s="410">
        <f>MAX(0,AH24-AH25)</f>
        <v/>
      </c>
      <c r="AJ24" s="410">
        <f>MAX(0,AI24-AI25)</f>
        <v/>
      </c>
      <c r="AK24" s="410">
        <f>MAX(0,AJ24-AJ25)</f>
        <v/>
      </c>
      <c r="AL24" s="410">
        <f>MAX(0,AK24-AK25)</f>
        <v/>
      </c>
      <c r="AM24" s="410">
        <f>MAX(0,AL24-AL25)</f>
        <v/>
      </c>
      <c r="AQ24" s="410">
        <f>MAX(0,AM24-AM25)</f>
        <v/>
      </c>
      <c r="AR24" s="410">
        <f>MAX(0,AQ24-AQ25)</f>
        <v/>
      </c>
      <c r="AS24" s="410">
        <f>MAX(0,AR24-AR25)</f>
        <v/>
      </c>
      <c r="AT24" s="410">
        <f>MAX(0,AS24-AS25)</f>
        <v/>
      </c>
      <c r="AU24" s="410">
        <f>MAX(0,AT24-AT25)</f>
        <v/>
      </c>
      <c r="AV24" s="410">
        <f>MAX(0,AU24-AU25)</f>
        <v/>
      </c>
      <c r="AW24" s="410">
        <f>MAX(0,AV24-AV25)</f>
        <v/>
      </c>
      <c r="AX24" s="410">
        <f>MAX(0,AW24-AW25)</f>
        <v/>
      </c>
    </row>
    <row r="25" ht="15" customHeight="1">
      <c r="B25" s="314" t="inlineStr">
        <is>
          <t>KfW Tilgung/Periode</t>
        </is>
      </c>
      <c r="D25" s="323">
        <f>MIN(D24,Annahmen!$C$45*CAPEX!$C$20/(Annahmen!$C$49*12)*1)</f>
        <v/>
      </c>
      <c r="E25" s="323">
        <f>MIN(E24,Annahmen!$C$45*CAPEX!$C$20/(Annahmen!$C$49*12)*1)</f>
        <v/>
      </c>
      <c r="F25" s="323">
        <f>MIN(F24,Annahmen!$C$45*CAPEX!$C$20/(Annahmen!$C$49*12)*1)</f>
        <v/>
      </c>
      <c r="G25" s="323">
        <f>MIN(G24,Annahmen!$C$45*CAPEX!$C$20/(Annahmen!$C$49*12)*1)</f>
        <v/>
      </c>
      <c r="H25" s="323">
        <f>MIN(H24,Annahmen!$C$45*CAPEX!$C$20/(Annahmen!$C$49*12)*1)</f>
        <v/>
      </c>
      <c r="I25" s="323">
        <f>MIN(I24,Annahmen!$C$45*CAPEX!$C$20/(Annahmen!$C$49*12)*1)</f>
        <v/>
      </c>
      <c r="J25" s="323">
        <f>MIN(J24,Annahmen!$C$45*CAPEX!$C$20/(Annahmen!$C$49*12)*1)</f>
        <v/>
      </c>
      <c r="K25" s="323">
        <f>MIN(K24,Annahmen!$C$45*CAPEX!$C$20/(Annahmen!$C$49*12)*1)</f>
        <v/>
      </c>
      <c r="L25" s="323">
        <f>MIN(L24,Annahmen!$C$45*CAPEX!$C$20/(Annahmen!$C$49*12)*1)</f>
        <v/>
      </c>
      <c r="M25" s="323">
        <f>MIN(M24,Annahmen!$C$45*CAPEX!$C$20/(Annahmen!$C$49*12)*1)</f>
        <v/>
      </c>
      <c r="N25" s="323">
        <f>MIN(N24,Annahmen!$C$45*CAPEX!$C$20/(Annahmen!$C$49*12)*1)</f>
        <v/>
      </c>
      <c r="O25" s="323">
        <f>MIN(O24,Annahmen!$C$45*CAPEX!$C$20/(Annahmen!$C$49*12)*1)</f>
        <v/>
      </c>
      <c r="P25" s="323">
        <f>MIN(P24,Annahmen!$C$45*CAPEX!$C$20/(Annahmen!$C$49*12)*1)</f>
        <v/>
      </c>
      <c r="Q25" s="323">
        <f>MIN(Q24,Annahmen!$C$45*CAPEX!$C$20/(Annahmen!$C$49*12)*1)</f>
        <v/>
      </c>
      <c r="R25" s="323">
        <f>MIN(R24,Annahmen!$C$45*CAPEX!$C$20/(Annahmen!$C$49*12)*1)</f>
        <v/>
      </c>
      <c r="S25" s="323">
        <f>MIN(S24,Annahmen!$C$45*CAPEX!$C$20/(Annahmen!$C$49*12)*1)</f>
        <v/>
      </c>
      <c r="T25" s="323">
        <f>MIN(T24,Annahmen!$C$45*CAPEX!$C$20/(Annahmen!$C$49*12)*1)</f>
        <v/>
      </c>
      <c r="U25" s="323">
        <f>MIN(U24,Annahmen!$C$45*CAPEX!$C$20/(Annahmen!$C$49*12)*1)</f>
        <v/>
      </c>
      <c r="V25" s="323">
        <f>MIN(V24,Annahmen!$C$45*CAPEX!$C$20/(Annahmen!$C$49*12)*1)</f>
        <v/>
      </c>
      <c r="W25" s="323">
        <f>MIN(W24,Annahmen!$C$45*CAPEX!$C$20/(Annahmen!$C$49*12)*1)</f>
        <v/>
      </c>
      <c r="X25" s="323">
        <f>MIN(X24,Annahmen!$C$45*CAPEX!$C$20/(Annahmen!$C$49*12)*1)</f>
        <v/>
      </c>
      <c r="Y25" s="323">
        <f>MIN(Y24,Annahmen!$C$45*CAPEX!$C$20/(Annahmen!$C$49*12)*1)</f>
        <v/>
      </c>
      <c r="Z25" s="323">
        <f>MIN(Z24,Annahmen!$C$45*CAPEX!$C$20/(Annahmen!$C$49*12)*1)</f>
        <v/>
      </c>
      <c r="AA25" s="323">
        <f>MIN(AA24,Annahmen!$C$45*CAPEX!$C$20/(Annahmen!$C$49*12)*1)</f>
        <v/>
      </c>
      <c r="AB25" s="323">
        <f>MIN(AB24,Annahmen!$C$45*CAPEX!$C$20/(Annahmen!$C$49*12)*1)</f>
        <v/>
      </c>
      <c r="AC25" s="323">
        <f>MIN(AC24,Annahmen!$C$45*CAPEX!$C$20/(Annahmen!$C$49*12)*1)</f>
        <v/>
      </c>
      <c r="AD25" s="323">
        <f>MIN(AD24,Annahmen!$C$45*CAPEX!$C$20/(Annahmen!$C$49*12)*1)</f>
        <v/>
      </c>
      <c r="AE25" s="323">
        <f>MIN(AE24,Annahmen!$C$45*CAPEX!$C$20/(Annahmen!$C$49*12)*1)</f>
        <v/>
      </c>
      <c r="AF25" s="323">
        <f>MIN(AF24,Annahmen!$C$45*CAPEX!$C$20/(Annahmen!$C$49*12)*1)</f>
        <v/>
      </c>
      <c r="AG25" s="323">
        <f>MIN(AG24,Annahmen!$C$45*CAPEX!$C$20/(Annahmen!$C$49*12)*1)</f>
        <v/>
      </c>
      <c r="AH25" s="323">
        <f>MIN(AH24,Annahmen!$C$45*CAPEX!$C$20/(Annahmen!$C$49*12)*1)</f>
        <v/>
      </c>
      <c r="AI25" s="323">
        <f>MIN(AI24,Annahmen!$C$45*CAPEX!$C$20/(Annahmen!$C$49*12)*1)</f>
        <v/>
      </c>
      <c r="AJ25" s="323">
        <f>MIN(AJ24,Annahmen!$C$45*CAPEX!$C$20/(Annahmen!$C$49*12)*1)</f>
        <v/>
      </c>
      <c r="AK25" s="323">
        <f>MIN(AK24,Annahmen!$C$45*CAPEX!$C$20/(Annahmen!$C$49*12)*1)</f>
        <v/>
      </c>
      <c r="AL25" s="323">
        <f>MIN(AL24,Annahmen!$C$45*CAPEX!$C$20/(Annahmen!$C$49*12)*1)</f>
        <v/>
      </c>
      <c r="AM25" s="323">
        <f>MIN(AM24,Annahmen!$C$45*CAPEX!$C$20/(Annahmen!$C$49*12)*1)</f>
        <v/>
      </c>
      <c r="AQ25" s="323">
        <f>MIN(AQ24,Annahmen!$C$45*CAPEX!$C$20/(Annahmen!$C$49*12)*3)</f>
        <v/>
      </c>
      <c r="AR25" s="323">
        <f>MIN(AR24,Annahmen!$C$45*CAPEX!$C$20/(Annahmen!$C$49*12)*3)</f>
        <v/>
      </c>
      <c r="AS25" s="323">
        <f>MIN(AS24,Annahmen!$C$45*CAPEX!$C$20/(Annahmen!$C$49*12)*3)</f>
        <v/>
      </c>
      <c r="AT25" s="323">
        <f>MIN(AT24,Annahmen!$C$45*CAPEX!$C$20/(Annahmen!$C$49*12)*3)</f>
        <v/>
      </c>
      <c r="AU25" s="323">
        <f>MIN(AU24,Annahmen!$C$45*CAPEX!$C$20/(Annahmen!$C$49*12)*3)</f>
        <v/>
      </c>
      <c r="AV25" s="323">
        <f>MIN(AV24,Annahmen!$C$45*CAPEX!$C$20/(Annahmen!$C$49*12)*3)</f>
        <v/>
      </c>
      <c r="AW25" s="323">
        <f>MIN(AW24,Annahmen!$C$45*CAPEX!$C$20/(Annahmen!$C$49*12)*3)</f>
        <v/>
      </c>
      <c r="AX25" s="323">
        <f>MIN(AX24,Annahmen!$C$45*CAPEX!$C$20/(Annahmen!$C$49*12)*3)</f>
        <v/>
      </c>
    </row>
    <row r="26" ht="15" customHeight="1">
      <c r="B26" s="406" t="inlineStr">
        <is>
          <t>KfW Zinsen/Periode</t>
        </is>
      </c>
      <c r="D26" s="410">
        <f>IF(D24&gt;0,D24*Annahmen!$C$48/12,0)</f>
        <v/>
      </c>
      <c r="E26" s="410">
        <f>IF(E24&gt;0,E24*Annahmen!$C$48/12,0)</f>
        <v/>
      </c>
      <c r="F26" s="410">
        <f>IF(F24&gt;0,F24*Annahmen!$C$48/12,0)</f>
        <v/>
      </c>
      <c r="G26" s="410">
        <f>IF(G24&gt;0,G24*Annahmen!$C$48/12,0)</f>
        <v/>
      </c>
      <c r="H26" s="410">
        <f>IF(H24&gt;0,H24*Annahmen!$C$48/12,0)</f>
        <v/>
      </c>
      <c r="I26" s="410">
        <f>IF(I24&gt;0,I24*Annahmen!$C$48/12,0)</f>
        <v/>
      </c>
      <c r="J26" s="410">
        <f>IF(J24&gt;0,J24*Annahmen!$C$48/12,0)</f>
        <v/>
      </c>
      <c r="K26" s="410">
        <f>IF(K24&gt;0,K24*Annahmen!$C$48/12,0)</f>
        <v/>
      </c>
      <c r="L26" s="410">
        <f>IF(L24&gt;0,L24*Annahmen!$C$48/12,0)</f>
        <v/>
      </c>
      <c r="M26" s="410">
        <f>IF(M24&gt;0,M24*Annahmen!$C$48/12,0)</f>
        <v/>
      </c>
      <c r="N26" s="410">
        <f>IF(N24&gt;0,N24*Annahmen!$C$48/12,0)</f>
        <v/>
      </c>
      <c r="O26" s="410">
        <f>IF(O24&gt;0,O24*Annahmen!$C$48/12,0)</f>
        <v/>
      </c>
      <c r="P26" s="410">
        <f>IF(P24&gt;0,P24*Annahmen!$C$48/12,0)</f>
        <v/>
      </c>
      <c r="Q26" s="410">
        <f>IF(Q24&gt;0,Q24*Annahmen!$C$48/12,0)</f>
        <v/>
      </c>
      <c r="R26" s="410">
        <f>IF(R24&gt;0,R24*Annahmen!$C$48/12,0)</f>
        <v/>
      </c>
      <c r="S26" s="410">
        <f>IF(S24&gt;0,S24*Annahmen!$C$48/12,0)</f>
        <v/>
      </c>
      <c r="T26" s="410">
        <f>IF(T24&gt;0,T24*Annahmen!$C$48/12,0)</f>
        <v/>
      </c>
      <c r="U26" s="410">
        <f>IF(U24&gt;0,U24*Annahmen!$C$48/12,0)</f>
        <v/>
      </c>
      <c r="V26" s="410">
        <f>IF(V24&gt;0,V24*Annahmen!$C$48/12,0)</f>
        <v/>
      </c>
      <c r="W26" s="410">
        <f>IF(W24&gt;0,W24*Annahmen!$C$48/12,0)</f>
        <v/>
      </c>
      <c r="X26" s="410">
        <f>IF(X24&gt;0,X24*Annahmen!$C$48/12,0)</f>
        <v/>
      </c>
      <c r="Y26" s="410">
        <f>IF(Y24&gt;0,Y24*Annahmen!$C$48/12,0)</f>
        <v/>
      </c>
      <c r="Z26" s="410">
        <f>IF(Z24&gt;0,Z24*Annahmen!$C$48/12,0)</f>
        <v/>
      </c>
      <c r="AA26" s="410">
        <f>IF(AA24&gt;0,AA24*Annahmen!$C$48/12,0)</f>
        <v/>
      </c>
      <c r="AB26" s="410">
        <f>IF(AB24&gt;0,AB24*Annahmen!$C$48/12,0)</f>
        <v/>
      </c>
      <c r="AC26" s="410">
        <f>IF(AC24&gt;0,AC24*Annahmen!$C$48/12,0)</f>
        <v/>
      </c>
      <c r="AD26" s="410">
        <f>IF(AD24&gt;0,AD24*Annahmen!$C$48/12,0)</f>
        <v/>
      </c>
      <c r="AE26" s="410">
        <f>IF(AE24&gt;0,AE24*Annahmen!$C$48/12,0)</f>
        <v/>
      </c>
      <c r="AF26" s="410">
        <f>IF(AF24&gt;0,AF24*Annahmen!$C$48/12,0)</f>
        <v/>
      </c>
      <c r="AG26" s="410">
        <f>IF(AG24&gt;0,AG24*Annahmen!$C$48/12,0)</f>
        <v/>
      </c>
      <c r="AH26" s="410">
        <f>IF(AH24&gt;0,AH24*Annahmen!$C$48/12,0)</f>
        <v/>
      </c>
      <c r="AI26" s="410">
        <f>IF(AI24&gt;0,AI24*Annahmen!$C$48/12,0)</f>
        <v/>
      </c>
      <c r="AJ26" s="410">
        <f>IF(AJ24&gt;0,AJ24*Annahmen!$C$48/12,0)</f>
        <v/>
      </c>
      <c r="AK26" s="410">
        <f>IF(AK24&gt;0,AK24*Annahmen!$C$48/12,0)</f>
        <v/>
      </c>
      <c r="AL26" s="410">
        <f>IF(AL24&gt;0,AL24*Annahmen!$C$48/12,0)</f>
        <v/>
      </c>
      <c r="AM26" s="410">
        <f>IF(AM24&gt;0,AM24*Annahmen!$C$48/12,0)</f>
        <v/>
      </c>
      <c r="AQ26" s="410">
        <f>IF(AQ24&gt;0,AQ24*Annahmen!$C$48/4,0)</f>
        <v/>
      </c>
      <c r="AR26" s="410">
        <f>IF(AR24&gt;0,AR24*Annahmen!$C$48/4,0)</f>
        <v/>
      </c>
      <c r="AS26" s="410">
        <f>IF(AS24&gt;0,AS24*Annahmen!$C$48/4,0)</f>
        <v/>
      </c>
      <c r="AT26" s="410">
        <f>IF(AT24&gt;0,AT24*Annahmen!$C$48/4,0)</f>
        <v/>
      </c>
      <c r="AU26" s="410">
        <f>IF(AU24&gt;0,AU24*Annahmen!$C$48/4,0)</f>
        <v/>
      </c>
      <c r="AV26" s="410">
        <f>IF(AV24&gt;0,AV24*Annahmen!$C$48/4,0)</f>
        <v/>
      </c>
      <c r="AW26" s="410">
        <f>IF(AW24&gt;0,AW24*Annahmen!$C$48/4,0)</f>
        <v/>
      </c>
      <c r="AX26" s="410">
        <f>IF(AX24&gt;0,AX24*Annahmen!$C$48/4,0)</f>
        <v/>
      </c>
    </row>
    <row r="27" ht="15" customHeight="1">
      <c r="B27" s="314" t="inlineStr">
        <is>
          <t>B2B Marketing-Rate</t>
        </is>
      </c>
      <c r="D27" s="318">
        <f>INDEX('Marketing &amp; Vertrieb'!$E$6:$N$6,1,D4)</f>
        <v/>
      </c>
      <c r="E27" s="318">
        <f>INDEX('Marketing &amp; Vertrieb'!$E$6:$N$6,1,E4)</f>
        <v/>
      </c>
      <c r="F27" s="318">
        <f>INDEX('Marketing &amp; Vertrieb'!$E$6:$N$6,1,F4)</f>
        <v/>
      </c>
      <c r="G27" s="318">
        <f>INDEX('Marketing &amp; Vertrieb'!$E$6:$N$6,1,G4)</f>
        <v/>
      </c>
      <c r="H27" s="318">
        <f>INDEX('Marketing &amp; Vertrieb'!$E$6:$N$6,1,H4)</f>
        <v/>
      </c>
      <c r="I27" s="318">
        <f>INDEX('Marketing &amp; Vertrieb'!$E$6:$N$6,1,I4)</f>
        <v/>
      </c>
      <c r="J27" s="318">
        <f>INDEX('Marketing &amp; Vertrieb'!$E$6:$N$6,1,J4)</f>
        <v/>
      </c>
      <c r="K27" s="318">
        <f>INDEX('Marketing &amp; Vertrieb'!$E$6:$N$6,1,K4)</f>
        <v/>
      </c>
      <c r="L27" s="318">
        <f>INDEX('Marketing &amp; Vertrieb'!$E$6:$N$6,1,L4)</f>
        <v/>
      </c>
      <c r="M27" s="318">
        <f>INDEX('Marketing &amp; Vertrieb'!$E$6:$N$6,1,M4)</f>
        <v/>
      </c>
      <c r="N27" s="318">
        <f>INDEX('Marketing &amp; Vertrieb'!$E$6:$N$6,1,N4)</f>
        <v/>
      </c>
      <c r="O27" s="318">
        <f>INDEX('Marketing &amp; Vertrieb'!$E$6:$N$6,1,O4)</f>
        <v/>
      </c>
      <c r="P27" s="318">
        <f>INDEX('Marketing &amp; Vertrieb'!$E$6:$N$6,1,P4)</f>
        <v/>
      </c>
      <c r="Q27" s="318">
        <f>INDEX('Marketing &amp; Vertrieb'!$E$6:$N$6,1,Q4)</f>
        <v/>
      </c>
      <c r="R27" s="318">
        <f>INDEX('Marketing &amp; Vertrieb'!$E$6:$N$6,1,R4)</f>
        <v/>
      </c>
      <c r="S27" s="318">
        <f>INDEX('Marketing &amp; Vertrieb'!$E$6:$N$6,1,S4)</f>
        <v/>
      </c>
      <c r="T27" s="318">
        <f>INDEX('Marketing &amp; Vertrieb'!$E$6:$N$6,1,T4)</f>
        <v/>
      </c>
      <c r="U27" s="318">
        <f>INDEX('Marketing &amp; Vertrieb'!$E$6:$N$6,1,U4)</f>
        <v/>
      </c>
      <c r="V27" s="318">
        <f>INDEX('Marketing &amp; Vertrieb'!$E$6:$N$6,1,V4)</f>
        <v/>
      </c>
      <c r="W27" s="318">
        <f>INDEX('Marketing &amp; Vertrieb'!$E$6:$N$6,1,W4)</f>
        <v/>
      </c>
      <c r="X27" s="318">
        <f>INDEX('Marketing &amp; Vertrieb'!$E$6:$N$6,1,X4)</f>
        <v/>
      </c>
      <c r="Y27" s="318">
        <f>INDEX('Marketing &amp; Vertrieb'!$E$6:$N$6,1,Y4)</f>
        <v/>
      </c>
      <c r="Z27" s="318">
        <f>INDEX('Marketing &amp; Vertrieb'!$E$6:$N$6,1,Z4)</f>
        <v/>
      </c>
      <c r="AA27" s="318">
        <f>INDEX('Marketing &amp; Vertrieb'!$E$6:$N$6,1,AA4)</f>
        <v/>
      </c>
      <c r="AB27" s="318">
        <f>INDEX('Marketing &amp; Vertrieb'!$E$6:$N$6,1,AB4)</f>
        <v/>
      </c>
      <c r="AC27" s="318">
        <f>INDEX('Marketing &amp; Vertrieb'!$E$6:$N$6,1,AC4)</f>
        <v/>
      </c>
      <c r="AD27" s="318">
        <f>INDEX('Marketing &amp; Vertrieb'!$E$6:$N$6,1,AD4)</f>
        <v/>
      </c>
      <c r="AE27" s="318">
        <f>INDEX('Marketing &amp; Vertrieb'!$E$6:$N$6,1,AE4)</f>
        <v/>
      </c>
      <c r="AF27" s="318">
        <f>INDEX('Marketing &amp; Vertrieb'!$E$6:$N$6,1,AF4)</f>
        <v/>
      </c>
      <c r="AG27" s="318">
        <f>INDEX('Marketing &amp; Vertrieb'!$E$6:$N$6,1,AG4)</f>
        <v/>
      </c>
      <c r="AH27" s="318">
        <f>INDEX('Marketing &amp; Vertrieb'!$E$6:$N$6,1,AH4)</f>
        <v/>
      </c>
      <c r="AI27" s="318">
        <f>INDEX('Marketing &amp; Vertrieb'!$E$6:$N$6,1,AI4)</f>
        <v/>
      </c>
      <c r="AJ27" s="318">
        <f>INDEX('Marketing &amp; Vertrieb'!$E$6:$N$6,1,AJ4)</f>
        <v/>
      </c>
      <c r="AK27" s="318">
        <f>INDEX('Marketing &amp; Vertrieb'!$E$6:$N$6,1,AK4)</f>
        <v/>
      </c>
      <c r="AL27" s="318">
        <f>INDEX('Marketing &amp; Vertrieb'!$E$6:$N$6,1,AL4)</f>
        <v/>
      </c>
      <c r="AM27" s="318">
        <f>INDEX('Marketing &amp; Vertrieb'!$E$6:$N$6,1,AM4)</f>
        <v/>
      </c>
      <c r="AQ27" s="318">
        <f>INDEX('Marketing &amp; Vertrieb'!$E$6:$N$6,1,AQ4)</f>
        <v/>
      </c>
      <c r="AR27" s="318">
        <f>INDEX('Marketing &amp; Vertrieb'!$E$6:$N$6,1,AR4)</f>
        <v/>
      </c>
      <c r="AS27" s="318">
        <f>INDEX('Marketing &amp; Vertrieb'!$E$6:$N$6,1,AS4)</f>
        <v/>
      </c>
      <c r="AT27" s="318">
        <f>INDEX('Marketing &amp; Vertrieb'!$E$6:$N$6,1,AT4)</f>
        <v/>
      </c>
      <c r="AU27" s="318">
        <f>INDEX('Marketing &amp; Vertrieb'!$E$6:$N$6,1,AU4)</f>
        <v/>
      </c>
      <c r="AV27" s="318">
        <f>INDEX('Marketing &amp; Vertrieb'!$E$6:$N$6,1,AV4)</f>
        <v/>
      </c>
      <c r="AW27" s="318">
        <f>INDEX('Marketing &amp; Vertrieb'!$E$6:$N$6,1,AW4)</f>
        <v/>
      </c>
      <c r="AX27" s="318">
        <f>INDEX('Marketing &amp; Vertrieb'!$E$6:$N$6,1,AX4)</f>
        <v/>
      </c>
    </row>
    <row r="28" ht="15" customHeight="1">
      <c r="B28" s="406" t="inlineStr">
        <is>
          <t>B2C Marketing-Rate</t>
        </is>
      </c>
      <c r="D28" s="409">
        <f>INDEX('Marketing &amp; Vertrieb'!$E$7:$N$7,1,D4)</f>
        <v/>
      </c>
      <c r="E28" s="409">
        <f>INDEX('Marketing &amp; Vertrieb'!$E$7:$N$7,1,E4)</f>
        <v/>
      </c>
      <c r="F28" s="409">
        <f>INDEX('Marketing &amp; Vertrieb'!$E$7:$N$7,1,F4)</f>
        <v/>
      </c>
      <c r="G28" s="409">
        <f>INDEX('Marketing &amp; Vertrieb'!$E$7:$N$7,1,G4)</f>
        <v/>
      </c>
      <c r="H28" s="409">
        <f>INDEX('Marketing &amp; Vertrieb'!$E$7:$N$7,1,H4)</f>
        <v/>
      </c>
      <c r="I28" s="409">
        <f>INDEX('Marketing &amp; Vertrieb'!$E$7:$N$7,1,I4)</f>
        <v/>
      </c>
      <c r="J28" s="409">
        <f>INDEX('Marketing &amp; Vertrieb'!$E$7:$N$7,1,J4)</f>
        <v/>
      </c>
      <c r="K28" s="409">
        <f>INDEX('Marketing &amp; Vertrieb'!$E$7:$N$7,1,K4)</f>
        <v/>
      </c>
      <c r="L28" s="409">
        <f>INDEX('Marketing &amp; Vertrieb'!$E$7:$N$7,1,L4)</f>
        <v/>
      </c>
      <c r="M28" s="409">
        <f>INDEX('Marketing &amp; Vertrieb'!$E$7:$N$7,1,M4)</f>
        <v/>
      </c>
      <c r="N28" s="409">
        <f>INDEX('Marketing &amp; Vertrieb'!$E$7:$N$7,1,N4)</f>
        <v/>
      </c>
      <c r="O28" s="409">
        <f>INDEX('Marketing &amp; Vertrieb'!$E$7:$N$7,1,O4)</f>
        <v/>
      </c>
      <c r="P28" s="409">
        <f>INDEX('Marketing &amp; Vertrieb'!$E$7:$N$7,1,P4)</f>
        <v/>
      </c>
      <c r="Q28" s="409">
        <f>INDEX('Marketing &amp; Vertrieb'!$E$7:$N$7,1,Q4)</f>
        <v/>
      </c>
      <c r="R28" s="409">
        <f>INDEX('Marketing &amp; Vertrieb'!$E$7:$N$7,1,R4)</f>
        <v/>
      </c>
      <c r="S28" s="409">
        <f>INDEX('Marketing &amp; Vertrieb'!$E$7:$N$7,1,S4)</f>
        <v/>
      </c>
      <c r="T28" s="409">
        <f>INDEX('Marketing &amp; Vertrieb'!$E$7:$N$7,1,T4)</f>
        <v/>
      </c>
      <c r="U28" s="409">
        <f>INDEX('Marketing &amp; Vertrieb'!$E$7:$N$7,1,U4)</f>
        <v/>
      </c>
      <c r="V28" s="409">
        <f>INDEX('Marketing &amp; Vertrieb'!$E$7:$N$7,1,V4)</f>
        <v/>
      </c>
      <c r="W28" s="409">
        <f>INDEX('Marketing &amp; Vertrieb'!$E$7:$N$7,1,W4)</f>
        <v/>
      </c>
      <c r="X28" s="409">
        <f>INDEX('Marketing &amp; Vertrieb'!$E$7:$N$7,1,X4)</f>
        <v/>
      </c>
      <c r="Y28" s="409">
        <f>INDEX('Marketing &amp; Vertrieb'!$E$7:$N$7,1,Y4)</f>
        <v/>
      </c>
      <c r="Z28" s="409">
        <f>INDEX('Marketing &amp; Vertrieb'!$E$7:$N$7,1,Z4)</f>
        <v/>
      </c>
      <c r="AA28" s="409">
        <f>INDEX('Marketing &amp; Vertrieb'!$E$7:$N$7,1,AA4)</f>
        <v/>
      </c>
      <c r="AB28" s="409">
        <f>INDEX('Marketing &amp; Vertrieb'!$E$7:$N$7,1,AB4)</f>
        <v/>
      </c>
      <c r="AC28" s="409">
        <f>INDEX('Marketing &amp; Vertrieb'!$E$7:$N$7,1,AC4)</f>
        <v/>
      </c>
      <c r="AD28" s="409">
        <f>INDEX('Marketing &amp; Vertrieb'!$E$7:$N$7,1,AD4)</f>
        <v/>
      </c>
      <c r="AE28" s="409">
        <f>INDEX('Marketing &amp; Vertrieb'!$E$7:$N$7,1,AE4)</f>
        <v/>
      </c>
      <c r="AF28" s="409">
        <f>INDEX('Marketing &amp; Vertrieb'!$E$7:$N$7,1,AF4)</f>
        <v/>
      </c>
      <c r="AG28" s="409">
        <f>INDEX('Marketing &amp; Vertrieb'!$E$7:$N$7,1,AG4)</f>
        <v/>
      </c>
      <c r="AH28" s="409">
        <f>INDEX('Marketing &amp; Vertrieb'!$E$7:$N$7,1,AH4)</f>
        <v/>
      </c>
      <c r="AI28" s="409">
        <f>INDEX('Marketing &amp; Vertrieb'!$E$7:$N$7,1,AI4)</f>
        <v/>
      </c>
      <c r="AJ28" s="409">
        <f>INDEX('Marketing &amp; Vertrieb'!$E$7:$N$7,1,AJ4)</f>
        <v/>
      </c>
      <c r="AK28" s="409">
        <f>INDEX('Marketing &amp; Vertrieb'!$E$7:$N$7,1,AK4)</f>
        <v/>
      </c>
      <c r="AL28" s="409">
        <f>INDEX('Marketing &amp; Vertrieb'!$E$7:$N$7,1,AL4)</f>
        <v/>
      </c>
      <c r="AM28" s="409">
        <f>INDEX('Marketing &amp; Vertrieb'!$E$7:$N$7,1,AM4)</f>
        <v/>
      </c>
      <c r="AQ28" s="409">
        <f>INDEX('Marketing &amp; Vertrieb'!$E$7:$N$7,1,AQ4)</f>
        <v/>
      </c>
      <c r="AR28" s="409">
        <f>INDEX('Marketing &amp; Vertrieb'!$E$7:$N$7,1,AR4)</f>
        <v/>
      </c>
      <c r="AS28" s="409">
        <f>INDEX('Marketing &amp; Vertrieb'!$E$7:$N$7,1,AS4)</f>
        <v/>
      </c>
      <c r="AT28" s="409">
        <f>INDEX('Marketing &amp; Vertrieb'!$E$7:$N$7,1,AT4)</f>
        <v/>
      </c>
      <c r="AU28" s="409">
        <f>INDEX('Marketing &amp; Vertrieb'!$E$7:$N$7,1,AU4)</f>
        <v/>
      </c>
      <c r="AV28" s="409">
        <f>INDEX('Marketing &amp; Vertrieb'!$E$7:$N$7,1,AV4)</f>
        <v/>
      </c>
      <c r="AW28" s="409">
        <f>INDEX('Marketing &amp; Vertrieb'!$E$7:$N$7,1,AW4)</f>
        <v/>
      </c>
      <c r="AX28" s="409">
        <f>INDEX('Marketing &amp; Vertrieb'!$E$7:$N$7,1,AX4)</f>
        <v/>
      </c>
    </row>
    <row r="29" ht="15" customHeight="1">
      <c r="B29" s="314" t="inlineStr">
        <is>
          <t>Marketing Basis/Periode</t>
        </is>
      </c>
      <c r="D29" s="323">
        <f>Annahmen!$C$213*1</f>
        <v/>
      </c>
      <c r="E29" s="323">
        <f>Annahmen!$C$213*1</f>
        <v/>
      </c>
      <c r="F29" s="323">
        <f>Annahmen!$C$213*1</f>
        <v/>
      </c>
      <c r="G29" s="323">
        <f>Annahmen!$C$213*1</f>
        <v/>
      </c>
      <c r="H29" s="323">
        <f>Annahmen!$C$213*1</f>
        <v/>
      </c>
      <c r="I29" s="323">
        <f>Annahmen!$C$213*1</f>
        <v/>
      </c>
      <c r="J29" s="323">
        <f>Annahmen!$C$213*1</f>
        <v/>
      </c>
      <c r="K29" s="323">
        <f>Annahmen!$C$213*1</f>
        <v/>
      </c>
      <c r="L29" s="323">
        <f>Annahmen!$C$213*1</f>
        <v/>
      </c>
      <c r="M29" s="323">
        <f>Annahmen!$C$213*1</f>
        <v/>
      </c>
      <c r="N29" s="323">
        <f>Annahmen!$C$213*1</f>
        <v/>
      </c>
      <c r="O29" s="323">
        <f>Annahmen!$C$213*1</f>
        <v/>
      </c>
      <c r="P29" s="323">
        <f>Annahmen!$C$213*1</f>
        <v/>
      </c>
      <c r="Q29" s="323">
        <f>Annahmen!$C$213*1</f>
        <v/>
      </c>
      <c r="R29" s="323">
        <f>Annahmen!$C$213*1</f>
        <v/>
      </c>
      <c r="S29" s="323">
        <f>Annahmen!$C$213*1</f>
        <v/>
      </c>
      <c r="T29" s="323">
        <f>Annahmen!$C$213*1</f>
        <v/>
      </c>
      <c r="U29" s="323">
        <f>Annahmen!$C$213*1</f>
        <v/>
      </c>
      <c r="V29" s="323">
        <f>Annahmen!$C$213*1</f>
        <v/>
      </c>
      <c r="W29" s="323">
        <f>Annahmen!$C$213*1</f>
        <v/>
      </c>
      <c r="X29" s="323">
        <f>Annahmen!$C$213*1</f>
        <v/>
      </c>
      <c r="Y29" s="323">
        <f>Annahmen!$C$213*1</f>
        <v/>
      </c>
      <c r="Z29" s="323">
        <f>Annahmen!$C$213*1</f>
        <v/>
      </c>
      <c r="AA29" s="323">
        <f>Annahmen!$C$213*1</f>
        <v/>
      </c>
      <c r="AB29" s="323">
        <f>Annahmen!$C$213*1</f>
        <v/>
      </c>
      <c r="AC29" s="323">
        <f>Annahmen!$C$213*1</f>
        <v/>
      </c>
      <c r="AD29" s="323">
        <f>Annahmen!$C$213*1</f>
        <v/>
      </c>
      <c r="AE29" s="323">
        <f>Annahmen!$C$213*1</f>
        <v/>
      </c>
      <c r="AF29" s="323">
        <f>Annahmen!$C$213*1</f>
        <v/>
      </c>
      <c r="AG29" s="323">
        <f>Annahmen!$C$213*1</f>
        <v/>
      </c>
      <c r="AH29" s="323">
        <f>Annahmen!$C$213*1</f>
        <v/>
      </c>
      <c r="AI29" s="323">
        <f>Annahmen!$C$213*1</f>
        <v/>
      </c>
      <c r="AJ29" s="323">
        <f>Annahmen!$C$213*1</f>
        <v/>
      </c>
      <c r="AK29" s="323">
        <f>Annahmen!$C$213*1</f>
        <v/>
      </c>
      <c r="AL29" s="323">
        <f>Annahmen!$C$213*1</f>
        <v/>
      </c>
      <c r="AM29" s="323">
        <f>Annahmen!$C$213*1</f>
        <v/>
      </c>
      <c r="AQ29" s="323">
        <f>Annahmen!$C$213*3</f>
        <v/>
      </c>
      <c r="AR29" s="323">
        <f>Annahmen!$C$213*3</f>
        <v/>
      </c>
      <c r="AS29" s="323">
        <f>Annahmen!$C$213*3</f>
        <v/>
      </c>
      <c r="AT29" s="323">
        <f>Annahmen!$C$213*3</f>
        <v/>
      </c>
      <c r="AU29" s="323">
        <f>Annahmen!$C$213*3</f>
        <v/>
      </c>
      <c r="AV29" s="323">
        <f>Annahmen!$C$213*3</f>
        <v/>
      </c>
      <c r="AW29" s="323">
        <f>Annahmen!$C$213*3</f>
        <v/>
      </c>
      <c r="AX29" s="323">
        <f>Annahmen!$C$213*3</f>
        <v/>
      </c>
    </row>
    <row r="30" ht="15" customHeight="1">
      <c r="B30" s="406" t="inlineStr">
        <is>
          <t>Setup-Kosten</t>
        </is>
      </c>
      <c r="D30" s="410">
        <f>'Marketing &amp; Vertrieb'!$E$8</f>
        <v/>
      </c>
      <c r="E30" s="411" t="n">
        <v>0</v>
      </c>
      <c r="F30" s="411" t="n">
        <v>0</v>
      </c>
      <c r="G30" s="411" t="n">
        <v>0</v>
      </c>
      <c r="H30" s="411" t="n">
        <v>0</v>
      </c>
      <c r="I30" s="411" t="n">
        <v>0</v>
      </c>
      <c r="J30" s="411" t="n">
        <v>0</v>
      </c>
      <c r="K30" s="411" t="n">
        <v>0</v>
      </c>
      <c r="L30" s="411" t="n">
        <v>0</v>
      </c>
      <c r="M30" s="411" t="n">
        <v>0</v>
      </c>
      <c r="N30" s="411" t="n">
        <v>0</v>
      </c>
      <c r="O30" s="411" t="n">
        <v>0</v>
      </c>
      <c r="P30" s="411" t="n">
        <v>0</v>
      </c>
      <c r="Q30" s="411" t="n">
        <v>0</v>
      </c>
      <c r="R30" s="411" t="n">
        <v>0</v>
      </c>
      <c r="S30" s="411" t="n">
        <v>0</v>
      </c>
      <c r="T30" s="411" t="n">
        <v>0</v>
      </c>
      <c r="U30" s="411" t="n">
        <v>0</v>
      </c>
      <c r="V30" s="411" t="n">
        <v>0</v>
      </c>
      <c r="W30" s="411" t="n">
        <v>0</v>
      </c>
      <c r="X30" s="411" t="n">
        <v>0</v>
      </c>
      <c r="Y30" s="411" t="n">
        <v>0</v>
      </c>
      <c r="Z30" s="411" t="n">
        <v>0</v>
      </c>
      <c r="AA30" s="411" t="n">
        <v>0</v>
      </c>
      <c r="AB30" s="411" t="n">
        <v>0</v>
      </c>
      <c r="AC30" s="411" t="n">
        <v>0</v>
      </c>
      <c r="AD30" s="411" t="n">
        <v>0</v>
      </c>
      <c r="AE30" s="411" t="n">
        <v>0</v>
      </c>
      <c r="AF30" s="411" t="n">
        <v>0</v>
      </c>
      <c r="AG30" s="411" t="n">
        <v>0</v>
      </c>
      <c r="AH30" s="411" t="n">
        <v>0</v>
      </c>
      <c r="AI30" s="411" t="n">
        <v>0</v>
      </c>
      <c r="AJ30" s="411" t="n">
        <v>0</v>
      </c>
      <c r="AK30" s="411" t="n">
        <v>0</v>
      </c>
      <c r="AL30" s="411" t="n">
        <v>0</v>
      </c>
      <c r="AM30" s="411" t="n">
        <v>0</v>
      </c>
      <c r="AQ30" s="411" t="n">
        <v>0</v>
      </c>
      <c r="AR30" s="411" t="n">
        <v>0</v>
      </c>
      <c r="AS30" s="411" t="n">
        <v>0</v>
      </c>
      <c r="AT30" s="411" t="n">
        <v>0</v>
      </c>
      <c r="AU30" s="411" t="n">
        <v>0</v>
      </c>
      <c r="AV30" s="411" t="n">
        <v>0</v>
      </c>
      <c r="AW30" s="411" t="n">
        <v>0</v>
      </c>
      <c r="AX30" s="411" t="n">
        <v>0</v>
      </c>
    </row>
    <row r="31" ht="15" customHeight="1">
      <c r="B31" s="314" t="inlineStr">
        <is>
          <t>Maintenance-CAPEX / Periode</t>
        </is>
      </c>
      <c r="D31" s="323">
        <f>IF(D4&gt;1,CAPEX!$C$20*Annahmen!$C$214/12,0)</f>
        <v/>
      </c>
      <c r="E31" s="323">
        <f>IF(E4&gt;1,CAPEX!$C$20*Annahmen!$C$214/12,0)</f>
        <v/>
      </c>
      <c r="F31" s="323">
        <f>IF(F4&gt;1,CAPEX!$C$20*Annahmen!$C$214/12,0)</f>
        <v/>
      </c>
      <c r="G31" s="323">
        <f>IF(G4&gt;1,CAPEX!$C$20*Annahmen!$C$214/12,0)</f>
        <v/>
      </c>
      <c r="H31" s="323">
        <f>IF(H4&gt;1,CAPEX!$C$20*Annahmen!$C$214/12,0)</f>
        <v/>
      </c>
      <c r="I31" s="323">
        <f>IF(I4&gt;1,CAPEX!$C$20*Annahmen!$C$214/12,0)</f>
        <v/>
      </c>
      <c r="J31" s="323">
        <f>IF(J4&gt;1,CAPEX!$C$20*Annahmen!$C$214/12,0)</f>
        <v/>
      </c>
      <c r="K31" s="323">
        <f>IF(K4&gt;1,CAPEX!$C$20*Annahmen!$C$214/12,0)</f>
        <v/>
      </c>
      <c r="L31" s="323">
        <f>IF(L4&gt;1,CAPEX!$C$20*Annahmen!$C$214/12,0)</f>
        <v/>
      </c>
      <c r="M31" s="323">
        <f>IF(M4&gt;1,CAPEX!$C$20*Annahmen!$C$214/12,0)</f>
        <v/>
      </c>
      <c r="N31" s="323">
        <f>IF(N4&gt;1,CAPEX!$C$20*Annahmen!$C$214/12,0)</f>
        <v/>
      </c>
      <c r="O31" s="323">
        <f>IF(O4&gt;1,CAPEX!$C$20*Annahmen!$C$214/12,0)</f>
        <v/>
      </c>
      <c r="P31" s="323">
        <f>IF(P4&gt;1,CAPEX!$C$20*Annahmen!$C$214/12,0)</f>
        <v/>
      </c>
      <c r="Q31" s="323">
        <f>IF(Q4&gt;1,CAPEX!$C$20*Annahmen!$C$214/12,0)</f>
        <v/>
      </c>
      <c r="R31" s="323">
        <f>IF(R4&gt;1,CAPEX!$C$20*Annahmen!$C$214/12,0)</f>
        <v/>
      </c>
      <c r="S31" s="323">
        <f>IF(S4&gt;1,CAPEX!$C$20*Annahmen!$C$214/12,0)</f>
        <v/>
      </c>
      <c r="T31" s="323">
        <f>IF(T4&gt;1,CAPEX!$C$20*Annahmen!$C$214/12,0)</f>
        <v/>
      </c>
      <c r="U31" s="323">
        <f>IF(U4&gt;1,CAPEX!$C$20*Annahmen!$C$214/12,0)</f>
        <v/>
      </c>
      <c r="V31" s="323">
        <f>IF(V4&gt;1,CAPEX!$C$20*Annahmen!$C$214/12,0)</f>
        <v/>
      </c>
      <c r="W31" s="323">
        <f>IF(W4&gt;1,CAPEX!$C$20*Annahmen!$C$214/12,0)</f>
        <v/>
      </c>
      <c r="X31" s="323">
        <f>IF(X4&gt;1,CAPEX!$C$20*Annahmen!$C$214/12,0)</f>
        <v/>
      </c>
      <c r="Y31" s="323">
        <f>IF(Y4&gt;1,CAPEX!$C$20*Annahmen!$C$214/12,0)</f>
        <v/>
      </c>
      <c r="Z31" s="323">
        <f>IF(Z4&gt;1,CAPEX!$C$20*Annahmen!$C$214/12,0)</f>
        <v/>
      </c>
      <c r="AA31" s="323">
        <f>IF(AA4&gt;1,CAPEX!$C$20*Annahmen!$C$214/12,0)</f>
        <v/>
      </c>
      <c r="AB31" s="323">
        <f>IF(AB4&gt;1,CAPEX!$C$20*Annahmen!$C$214/12,0)</f>
        <v/>
      </c>
      <c r="AC31" s="323">
        <f>IF(AC4&gt;1,CAPEX!$C$20*Annahmen!$C$214/12,0)</f>
        <v/>
      </c>
      <c r="AD31" s="323">
        <f>IF(AD4&gt;1,CAPEX!$C$20*Annahmen!$C$214/12,0)</f>
        <v/>
      </c>
      <c r="AE31" s="323">
        <f>IF(AE4&gt;1,CAPEX!$C$20*Annahmen!$C$214/12,0)</f>
        <v/>
      </c>
      <c r="AF31" s="323">
        <f>IF(AF4&gt;1,CAPEX!$C$20*Annahmen!$C$214/12,0)</f>
        <v/>
      </c>
      <c r="AG31" s="323">
        <f>IF(AG4&gt;1,CAPEX!$C$20*Annahmen!$C$214/12,0)</f>
        <v/>
      </c>
      <c r="AH31" s="323">
        <f>IF(AH4&gt;1,CAPEX!$C$20*Annahmen!$C$214/12,0)</f>
        <v/>
      </c>
      <c r="AI31" s="323">
        <f>IF(AI4&gt;1,CAPEX!$C$20*Annahmen!$C$214/12,0)</f>
        <v/>
      </c>
      <c r="AJ31" s="323">
        <f>IF(AJ4&gt;1,CAPEX!$C$20*Annahmen!$C$214/12,0)</f>
        <v/>
      </c>
      <c r="AK31" s="323">
        <f>IF(AK4&gt;1,CAPEX!$C$20*Annahmen!$C$214/12,0)</f>
        <v/>
      </c>
      <c r="AL31" s="323">
        <f>IF(AL4&gt;1,CAPEX!$C$20*Annahmen!$C$214/12,0)</f>
        <v/>
      </c>
      <c r="AM31" s="323">
        <f>IF(AM4&gt;1,CAPEX!$C$20*Annahmen!$C$214/12,0)</f>
        <v/>
      </c>
      <c r="AQ31" s="323">
        <f>IF(AQ4&gt;1,CAPEX!$C$20*Annahmen!$C$214/4,0)</f>
        <v/>
      </c>
      <c r="AR31" s="323">
        <f>IF(AR4&gt;1,CAPEX!$C$20*Annahmen!$C$214/4,0)</f>
        <v/>
      </c>
      <c r="AS31" s="323">
        <f>IF(AS4&gt;1,CAPEX!$C$20*Annahmen!$C$214/4,0)</f>
        <v/>
      </c>
      <c r="AT31" s="323">
        <f>IF(AT4&gt;1,CAPEX!$C$20*Annahmen!$C$214/4,0)</f>
        <v/>
      </c>
      <c r="AU31" s="323">
        <f>IF(AU4&gt;1,CAPEX!$C$20*Annahmen!$C$214/4,0)</f>
        <v/>
      </c>
      <c r="AV31" s="323">
        <f>IF(AV4&gt;1,CAPEX!$C$20*Annahmen!$C$214/4,0)</f>
        <v/>
      </c>
      <c r="AW31" s="323">
        <f>IF(AW4&gt;1,CAPEX!$C$20*Annahmen!$C$214/4,0)</f>
        <v/>
      </c>
      <c r="AX31" s="323">
        <f>IF(AX4&gt;1,CAPEX!$C$20*Annahmen!$C$214/4,0)</f>
        <v/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2.xml><?xml version="1.0" encoding="utf-8"?>
<worksheet xmlns="http://schemas.openxmlformats.org/spreadsheetml/2006/main">
  <sheetPr>
    <tabColor rgb="0000B4A0"/>
    <outlinePr summaryBelow="1" summaryRight="1"/>
    <pageSetUpPr/>
  </sheetPr>
  <dimension ref="B1:AZ49"/>
  <sheetViews>
    <sheetView zoomScaleNormal="100" workbookViewId="0">
      <pane ySplit="1" topLeftCell="A2" activePane="bottomLeft" state="frozen"/>
      <selection pane="bottomLeft" activeCell="Q1" sqref="Q1"/>
      <selection pane="bottomLeft" activeCell="A5" sqref="A5"/>
      <selection pane="bottomRigh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10" customWidth="1" min="3" max="3"/>
    <col width="30" customWidth="1" min="4" max="52"/>
    <col width="30" customWidth="1" min="5" max="5"/>
    <col width="30" customWidth="1" min="6" max="6"/>
    <col width="30" customWidth="1" min="7" max="7"/>
    <col width="30" customWidth="1" min="8" max="8"/>
    <col width="30" customWidth="1" min="9" max="9"/>
    <col width="30" customWidth="1" min="10" max="10"/>
    <col width="30" customWidth="1" min="11" max="11"/>
    <col width="30" customWidth="1" min="12" max="12"/>
    <col width="30" customWidth="1" min="13" max="13"/>
    <col width="30" customWidth="1" min="14" max="14"/>
    <col width="30" customWidth="1" min="15" max="15"/>
    <col width="30" customWidth="1" min="16" max="16"/>
    <col width="30" customWidth="1" min="17" max="17"/>
    <col width="30" customWidth="1" min="18" max="18"/>
    <col width="30" customWidth="1" min="19" max="19"/>
    <col width="30" customWidth="1" min="20" max="20"/>
    <col width="30" customWidth="1" min="21" max="21"/>
    <col width="30" customWidth="1" min="22" max="22"/>
    <col width="30" customWidth="1" min="23" max="23"/>
    <col width="30" customWidth="1" min="24" max="24"/>
    <col width="30" customWidth="1" min="25" max="25"/>
    <col width="30" customWidth="1" min="26" max="26"/>
    <col width="30" customWidth="1" min="27" max="27"/>
    <col width="30" customWidth="1" min="28" max="28"/>
    <col width="30" customWidth="1" min="29" max="29"/>
    <col width="30" customWidth="1" min="30" max="30"/>
    <col width="30" customWidth="1" min="31" max="31"/>
    <col width="30" customWidth="1" min="32" max="32"/>
    <col width="30" customWidth="1" min="33" max="33"/>
    <col width="30" customWidth="1" min="34" max="34"/>
    <col width="30" customWidth="1" min="35" max="35"/>
    <col width="30" customWidth="1" min="36" max="36"/>
    <col width="30" customWidth="1" min="37" max="37"/>
    <col width="30" customWidth="1" min="38" max="38"/>
    <col width="30" customWidth="1" min="39" max="39"/>
    <col width="26" customWidth="1" min="40" max="40"/>
    <col width="26" customWidth="1" min="41" max="41"/>
    <col width="26" customWidth="1" min="42" max="42"/>
    <col width="30" customWidth="1" min="43" max="43"/>
    <col width="30" customWidth="1" min="44" max="44"/>
    <col width="30" customWidth="1" min="45" max="45"/>
    <col width="30" customWidth="1" min="46" max="46"/>
    <col width="30" customWidth="1" min="47" max="47"/>
    <col width="30" customWidth="1" min="48" max="48"/>
    <col width="30" customWidth="1" min="49" max="49"/>
    <col width="30" customWidth="1" min="50" max="50"/>
    <col width="26" customWidth="1" min="51" max="51"/>
    <col width="26" customWidth="1" min="52" max="52"/>
  </cols>
  <sheetData>
    <row r="1" ht="24" customHeight="1">
      <c r="B1" s="405" t="inlineStr">
        <is>
          <t>PHYOX BioGenesis (NovaVersum GmbH) – Plan-Gewinn- und Verlustrechnung</t>
        </is>
      </c>
    </row>
    <row r="2" ht="15" customHeight="1">
      <c r="B2" s="406" t="inlineStr">
        <is>
          <t>Monatlich (Jahr 1-3) | Quartalsweise (Jahr 4-5) | Base Case | Stand: März 2026</t>
        </is>
      </c>
    </row>
    <row r="3" ht="15" customHeight="1">
      <c r="B3" s="33" t="n"/>
      <c r="C3" s="33" t="n"/>
      <c r="D3" s="34" t="n"/>
      <c r="E3" s="34" t="n"/>
      <c r="F3" s="34" t="n"/>
      <c r="G3" s="34" t="n"/>
      <c r="H3" s="34" t="n"/>
      <c r="I3" s="320" t="inlineStr">
        <is>
          <t>JAHR 1</t>
        </is>
      </c>
      <c r="J3" s="34" t="n"/>
      <c r="K3" s="34" t="n"/>
      <c r="L3" s="34" t="n"/>
      <c r="M3" s="34" t="n"/>
      <c r="N3" s="34" t="n"/>
      <c r="O3" s="34" t="n"/>
      <c r="P3" s="35" t="n"/>
      <c r="Q3" s="35" t="n"/>
      <c r="R3" s="35" t="n"/>
      <c r="S3" s="35" t="n"/>
      <c r="T3" s="35" t="n"/>
      <c r="U3" s="321" t="inlineStr">
        <is>
          <t>JAHR 2</t>
        </is>
      </c>
      <c r="V3" s="35" t="n"/>
      <c r="W3" s="35" t="n"/>
      <c r="X3" s="35" t="n"/>
      <c r="Y3" s="35" t="n"/>
      <c r="Z3" s="35" t="n"/>
      <c r="AA3" s="35" t="n"/>
      <c r="AB3" s="36" t="n"/>
      <c r="AC3" s="36" t="n"/>
      <c r="AD3" s="36" t="n"/>
      <c r="AE3" s="36" t="n"/>
      <c r="AF3" s="36" t="n"/>
      <c r="AG3" s="322" t="inlineStr">
        <is>
          <t>JAHR 3</t>
        </is>
      </c>
      <c r="AH3" s="36" t="n"/>
      <c r="AI3" s="36" t="n"/>
      <c r="AJ3" s="36" t="n"/>
      <c r="AK3" s="36" t="n"/>
      <c r="AL3" s="36" t="n"/>
      <c r="AM3" s="36" t="n"/>
      <c r="AN3" s="37" t="n"/>
      <c r="AO3" s="37" t="n"/>
      <c r="AP3" s="37" t="n"/>
      <c r="AQ3" s="34" t="n"/>
      <c r="AR3" s="320" t="inlineStr">
        <is>
          <t>JAHR 4</t>
        </is>
      </c>
      <c r="AS3" s="34" t="n"/>
      <c r="AT3" s="34" t="n"/>
      <c r="AU3" s="35" t="n"/>
      <c r="AV3" s="321" t="inlineStr">
        <is>
          <t>JAHR 5</t>
        </is>
      </c>
      <c r="AW3" s="35" t="n"/>
      <c r="AX3" s="35" t="n"/>
      <c r="AY3" s="37" t="n"/>
      <c r="AZ3" s="37" t="n"/>
    </row>
    <row r="4" ht="15" customHeight="1">
      <c r="B4" s="319" t="inlineStr">
        <is>
          <t>Position</t>
        </is>
      </c>
      <c r="C4" s="319" t="inlineStr">
        <is>
          <t>€</t>
        </is>
      </c>
      <c r="D4" s="319" t="inlineStr">
        <is>
          <t>Jan J1</t>
        </is>
      </c>
      <c r="E4" s="319" t="inlineStr">
        <is>
          <t>Feb J1</t>
        </is>
      </c>
      <c r="F4" s="319" t="inlineStr">
        <is>
          <t>Mär J1</t>
        </is>
      </c>
      <c r="G4" s="319" t="inlineStr">
        <is>
          <t>Apr J1</t>
        </is>
      </c>
      <c r="H4" s="319" t="inlineStr">
        <is>
          <t>Mai J1</t>
        </is>
      </c>
      <c r="I4" s="319" t="inlineStr">
        <is>
          <t>Jun J1</t>
        </is>
      </c>
      <c r="J4" s="319" t="inlineStr">
        <is>
          <t>Jul J1</t>
        </is>
      </c>
      <c r="K4" s="319" t="inlineStr">
        <is>
          <t>Aug J1</t>
        </is>
      </c>
      <c r="L4" s="319" t="inlineStr">
        <is>
          <t>Sep J1</t>
        </is>
      </c>
      <c r="M4" s="319" t="inlineStr">
        <is>
          <t>Okt J1</t>
        </is>
      </c>
      <c r="N4" s="319" t="inlineStr">
        <is>
          <t>Nov J1</t>
        </is>
      </c>
      <c r="O4" s="319" t="inlineStr">
        <is>
          <t>Dez J1</t>
        </is>
      </c>
      <c r="P4" s="319" t="inlineStr">
        <is>
          <t>Jan J2</t>
        </is>
      </c>
      <c r="Q4" s="319" t="inlineStr">
        <is>
          <t>Feb J2</t>
        </is>
      </c>
      <c r="R4" s="319" t="inlineStr">
        <is>
          <t>Mär J2</t>
        </is>
      </c>
      <c r="S4" s="319" t="inlineStr">
        <is>
          <t>Apr J2</t>
        </is>
      </c>
      <c r="T4" s="319" t="inlineStr">
        <is>
          <t>Mai J2</t>
        </is>
      </c>
      <c r="U4" s="319" t="inlineStr">
        <is>
          <t>Jun J2</t>
        </is>
      </c>
      <c r="V4" s="319" t="inlineStr">
        <is>
          <t>Jul J2</t>
        </is>
      </c>
      <c r="W4" s="319" t="inlineStr">
        <is>
          <t>Aug J2</t>
        </is>
      </c>
      <c r="X4" s="319" t="inlineStr">
        <is>
          <t>Sep J2</t>
        </is>
      </c>
      <c r="Y4" s="319" t="inlineStr">
        <is>
          <t>Okt J2</t>
        </is>
      </c>
      <c r="Z4" s="319" t="inlineStr">
        <is>
          <t>Nov J2</t>
        </is>
      </c>
      <c r="AA4" s="319" t="inlineStr">
        <is>
          <t>Dez J2</t>
        </is>
      </c>
      <c r="AB4" s="319" t="inlineStr">
        <is>
          <t>Jan J3</t>
        </is>
      </c>
      <c r="AC4" s="319" t="inlineStr">
        <is>
          <t>Feb J3</t>
        </is>
      </c>
      <c r="AD4" s="319" t="inlineStr">
        <is>
          <t>Mär J3</t>
        </is>
      </c>
      <c r="AE4" s="319" t="inlineStr">
        <is>
          <t>Apr J3</t>
        </is>
      </c>
      <c r="AF4" s="319" t="inlineStr">
        <is>
          <t>Mai J3</t>
        </is>
      </c>
      <c r="AG4" s="319" t="inlineStr">
        <is>
          <t>Jun J3</t>
        </is>
      </c>
      <c r="AH4" s="319" t="inlineStr">
        <is>
          <t>Jul J3</t>
        </is>
      </c>
      <c r="AI4" s="319" t="inlineStr">
        <is>
          <t>Aug J3</t>
        </is>
      </c>
      <c r="AJ4" s="319" t="inlineStr">
        <is>
          <t>Sep J3</t>
        </is>
      </c>
      <c r="AK4" s="319" t="inlineStr">
        <is>
          <t>Okt J3</t>
        </is>
      </c>
      <c r="AL4" s="319" t="inlineStr">
        <is>
          <t>Nov J3</t>
        </is>
      </c>
      <c r="AM4" s="319" t="inlineStr">
        <is>
          <t>Dez J3</t>
        </is>
      </c>
      <c r="AN4" s="319" t="inlineStr">
        <is>
          <t>JAHR 1</t>
        </is>
      </c>
      <c r="AO4" s="319" t="inlineStr">
        <is>
          <t>JAHR 2</t>
        </is>
      </c>
      <c r="AP4" s="319" t="inlineStr">
        <is>
          <t>JAHR 3</t>
        </is>
      </c>
      <c r="AQ4" s="319" t="inlineStr">
        <is>
          <t>Q1 J4</t>
        </is>
      </c>
      <c r="AR4" s="319" t="inlineStr">
        <is>
          <t>Q2 J4</t>
        </is>
      </c>
      <c r="AS4" s="319" t="inlineStr">
        <is>
          <t>Q3 J4</t>
        </is>
      </c>
      <c r="AT4" s="319" t="inlineStr">
        <is>
          <t>Q4 J4</t>
        </is>
      </c>
      <c r="AU4" s="319" t="inlineStr">
        <is>
          <t>Q1 J5</t>
        </is>
      </c>
      <c r="AV4" s="319" t="inlineStr">
        <is>
          <t>Q2 J5</t>
        </is>
      </c>
      <c r="AW4" s="319" t="inlineStr">
        <is>
          <t>Q3 J5</t>
        </is>
      </c>
      <c r="AX4" s="319" t="inlineStr">
        <is>
          <t>Q4 J5</t>
        </is>
      </c>
      <c r="AY4" s="319" t="inlineStr">
        <is>
          <t>JAHR 4</t>
        </is>
      </c>
      <c r="AZ4" s="319" t="inlineStr">
        <is>
          <t>JAHR 5</t>
        </is>
      </c>
    </row>
    <row r="5" ht="15" customHeight="1">
      <c r="B5" s="314" t="inlineStr">
        <is>
          <t>A. UMSATZERLÖSE</t>
        </is>
      </c>
    </row>
    <row r="6" ht="15" customHeight="1">
      <c r="B6" s="406" t="inlineStr">
        <is>
          <t>Produktion (kg)</t>
        </is>
      </c>
      <c r="D6" s="410">
        <f>Modellsteuerung!D8</f>
        <v/>
      </c>
      <c r="E6" s="410">
        <f>Modellsteuerung!E8</f>
        <v/>
      </c>
      <c r="F6" s="410">
        <f>Modellsteuerung!F8</f>
        <v/>
      </c>
      <c r="G6" s="410">
        <f>Modellsteuerung!G8</f>
        <v/>
      </c>
      <c r="H6" s="410">
        <f>Modellsteuerung!H8</f>
        <v/>
      </c>
      <c r="I6" s="410">
        <f>Modellsteuerung!I8</f>
        <v/>
      </c>
      <c r="J6" s="410">
        <f>Modellsteuerung!J8</f>
        <v/>
      </c>
      <c r="K6" s="410">
        <f>Modellsteuerung!K8</f>
        <v/>
      </c>
      <c r="L6" s="410">
        <f>Modellsteuerung!L8</f>
        <v/>
      </c>
      <c r="M6" s="410">
        <f>Modellsteuerung!M8</f>
        <v/>
      </c>
      <c r="N6" s="410">
        <f>Modellsteuerung!N8</f>
        <v/>
      </c>
      <c r="O6" s="410">
        <f>Modellsteuerung!O8</f>
        <v/>
      </c>
      <c r="P6" s="410">
        <f>Modellsteuerung!P8</f>
        <v/>
      </c>
      <c r="Q6" s="410">
        <f>Modellsteuerung!Q8</f>
        <v/>
      </c>
      <c r="R6" s="410">
        <f>Modellsteuerung!R8</f>
        <v/>
      </c>
      <c r="S6" s="410">
        <f>Modellsteuerung!S8</f>
        <v/>
      </c>
      <c r="T6" s="410">
        <f>Modellsteuerung!T8</f>
        <v/>
      </c>
      <c r="U6" s="410">
        <f>Modellsteuerung!U8</f>
        <v/>
      </c>
      <c r="V6" s="410">
        <f>Modellsteuerung!V8</f>
        <v/>
      </c>
      <c r="W6" s="410">
        <f>Modellsteuerung!W8</f>
        <v/>
      </c>
      <c r="X6" s="410">
        <f>Modellsteuerung!X8</f>
        <v/>
      </c>
      <c r="Y6" s="410">
        <f>Modellsteuerung!Y8</f>
        <v/>
      </c>
      <c r="Z6" s="410">
        <f>Modellsteuerung!Z8</f>
        <v/>
      </c>
      <c r="AA6" s="410">
        <f>Modellsteuerung!AA8</f>
        <v/>
      </c>
      <c r="AB6" s="410">
        <f>Modellsteuerung!AB8</f>
        <v/>
      </c>
      <c r="AC6" s="410">
        <f>Modellsteuerung!AC8</f>
        <v/>
      </c>
      <c r="AD6" s="410">
        <f>Modellsteuerung!AD8</f>
        <v/>
      </c>
      <c r="AE6" s="410">
        <f>Modellsteuerung!AE8</f>
        <v/>
      </c>
      <c r="AF6" s="410">
        <f>Modellsteuerung!AF8</f>
        <v/>
      </c>
      <c r="AG6" s="410">
        <f>Modellsteuerung!AG8</f>
        <v/>
      </c>
      <c r="AH6" s="410">
        <f>Modellsteuerung!AH8</f>
        <v/>
      </c>
      <c r="AI6" s="410">
        <f>Modellsteuerung!AI8</f>
        <v/>
      </c>
      <c r="AJ6" s="410">
        <f>Modellsteuerung!AJ8</f>
        <v/>
      </c>
      <c r="AK6" s="410">
        <f>Modellsteuerung!AK8</f>
        <v/>
      </c>
      <c r="AL6" s="410">
        <f>Modellsteuerung!AL8</f>
        <v/>
      </c>
      <c r="AM6" s="410">
        <f>Modellsteuerung!AM8</f>
        <v/>
      </c>
      <c r="AN6" s="324">
        <f>SUM(D6:O6)</f>
        <v/>
      </c>
      <c r="AO6" s="324">
        <f>SUM(P6:AA6)</f>
        <v/>
      </c>
      <c r="AP6" s="324">
        <f>SUM(AB6:AM6)</f>
        <v/>
      </c>
      <c r="AQ6" s="410">
        <f>Modellsteuerung!AQ8</f>
        <v/>
      </c>
      <c r="AR6" s="410">
        <f>Modellsteuerung!AR8</f>
        <v/>
      </c>
      <c r="AS6" s="410">
        <f>Modellsteuerung!AS8</f>
        <v/>
      </c>
      <c r="AT6" s="410">
        <f>Modellsteuerung!AT8</f>
        <v/>
      </c>
      <c r="AU6" s="410">
        <f>Modellsteuerung!AU8</f>
        <v/>
      </c>
      <c r="AV6" s="410">
        <f>Modellsteuerung!AV8</f>
        <v/>
      </c>
      <c r="AW6" s="410">
        <f>Modellsteuerung!AW8</f>
        <v/>
      </c>
      <c r="AX6" s="410">
        <f>Modellsteuerung!AX8</f>
        <v/>
      </c>
      <c r="AY6" s="324">
        <f>SUM(AQ6:AT6)</f>
        <v/>
      </c>
      <c r="AZ6" s="324">
        <f>SUM(AU6:AX6)</f>
        <v/>
      </c>
    </row>
    <row r="7"/>
    <row r="8" ht="15" customHeight="1">
      <c r="B8" s="406" t="inlineStr">
        <is>
          <t>B2B Bulk Umsatz</t>
        </is>
      </c>
      <c r="D8" s="410">
        <f>D6*Annahmen!$C$80*Annahmen!$C$120*Modellsteuerung!D9</f>
        <v/>
      </c>
      <c r="E8" s="410">
        <f>E6*Annahmen!$C$80*Annahmen!$C$120*Modellsteuerung!E9</f>
        <v/>
      </c>
      <c r="F8" s="410">
        <f>F6*Annahmen!$C$80*Annahmen!$C$120*Modellsteuerung!F9</f>
        <v/>
      </c>
      <c r="G8" s="410">
        <f>G6*Annahmen!$C$80*Annahmen!$C$120*Modellsteuerung!G9</f>
        <v/>
      </c>
      <c r="H8" s="410">
        <f>H6*Annahmen!$C$80*Annahmen!$C$120*Modellsteuerung!H9</f>
        <v/>
      </c>
      <c r="I8" s="410">
        <f>I6*Annahmen!$C$80*Annahmen!$C$120*Modellsteuerung!I9</f>
        <v/>
      </c>
      <c r="J8" s="410">
        <f>J6*Annahmen!$C$80*Annahmen!$C$120*Modellsteuerung!J9</f>
        <v/>
      </c>
      <c r="K8" s="410">
        <f>K6*Annahmen!$C$80*Annahmen!$C$120*Modellsteuerung!K9</f>
        <v/>
      </c>
      <c r="L8" s="410">
        <f>L6*Annahmen!$C$80*Annahmen!$C$120*Modellsteuerung!L9</f>
        <v/>
      </c>
      <c r="M8" s="410">
        <f>M6*Annahmen!$C$80*Annahmen!$C$120*Modellsteuerung!M9</f>
        <v/>
      </c>
      <c r="N8" s="410">
        <f>N6*Annahmen!$C$80*Annahmen!$C$120*Modellsteuerung!N9</f>
        <v/>
      </c>
      <c r="O8" s="410">
        <f>O6*Annahmen!$C$80*Annahmen!$C$120*Modellsteuerung!O9</f>
        <v/>
      </c>
      <c r="P8" s="410">
        <f>P6*Annahmen!$C$80*Annahmen!$C$120*Modellsteuerung!P9</f>
        <v/>
      </c>
      <c r="Q8" s="410">
        <f>Q6*Annahmen!$C$80*Annahmen!$C$120*Modellsteuerung!Q9</f>
        <v/>
      </c>
      <c r="R8" s="410">
        <f>R6*Annahmen!$C$80*Annahmen!$C$120*Modellsteuerung!R9</f>
        <v/>
      </c>
      <c r="S8" s="410">
        <f>S6*Annahmen!$C$80*Annahmen!$C$120*Modellsteuerung!S9</f>
        <v/>
      </c>
      <c r="T8" s="410">
        <f>T6*Annahmen!$C$80*Annahmen!$C$120*Modellsteuerung!T9</f>
        <v/>
      </c>
      <c r="U8" s="410">
        <f>U6*Annahmen!$C$80*Annahmen!$C$120*Modellsteuerung!U9</f>
        <v/>
      </c>
      <c r="V8" s="410">
        <f>V6*Annahmen!$C$80*Annahmen!$C$120*Modellsteuerung!V9</f>
        <v/>
      </c>
      <c r="W8" s="410">
        <f>W6*Annahmen!$C$80*Annahmen!$C$120*Modellsteuerung!W9</f>
        <v/>
      </c>
      <c r="X8" s="410">
        <f>X6*Annahmen!$C$80*Annahmen!$C$120*Modellsteuerung!X9</f>
        <v/>
      </c>
      <c r="Y8" s="410">
        <f>Y6*Annahmen!$C$80*Annahmen!$C$120*Modellsteuerung!Y9</f>
        <v/>
      </c>
      <c r="Z8" s="410">
        <f>Z6*Annahmen!$C$80*Annahmen!$C$120*Modellsteuerung!Z9</f>
        <v/>
      </c>
      <c r="AA8" s="410">
        <f>AA6*Annahmen!$C$80*Annahmen!$C$120*Modellsteuerung!AA9</f>
        <v/>
      </c>
      <c r="AB8" s="410">
        <f>AB6*Annahmen!$C$80*Annahmen!$C$120*Modellsteuerung!AB9</f>
        <v/>
      </c>
      <c r="AC8" s="410">
        <f>AC6*Annahmen!$C$80*Annahmen!$C$120*Modellsteuerung!AC9</f>
        <v/>
      </c>
      <c r="AD8" s="410">
        <f>AD6*Annahmen!$C$80*Annahmen!$C$120*Modellsteuerung!AD9</f>
        <v/>
      </c>
      <c r="AE8" s="410">
        <f>AE6*Annahmen!$C$80*Annahmen!$C$120*Modellsteuerung!AE9</f>
        <v/>
      </c>
      <c r="AF8" s="410">
        <f>AF6*Annahmen!$C$80*Annahmen!$C$120*Modellsteuerung!AF9</f>
        <v/>
      </c>
      <c r="AG8" s="410">
        <f>AG6*Annahmen!$C$80*Annahmen!$C$120*Modellsteuerung!AG9</f>
        <v/>
      </c>
      <c r="AH8" s="410">
        <f>AH6*Annahmen!$C$80*Annahmen!$C$120*Modellsteuerung!AH9</f>
        <v/>
      </c>
      <c r="AI8" s="410">
        <f>AI6*Annahmen!$C$80*Annahmen!$C$120*Modellsteuerung!AI9</f>
        <v/>
      </c>
      <c r="AJ8" s="410">
        <f>AJ6*Annahmen!$C$80*Annahmen!$C$120*Modellsteuerung!AJ9</f>
        <v/>
      </c>
      <c r="AK8" s="410">
        <f>AK6*Annahmen!$C$80*Annahmen!$C$120*Modellsteuerung!AK9</f>
        <v/>
      </c>
      <c r="AL8" s="410">
        <f>AL6*Annahmen!$C$80*Annahmen!$C$120*Modellsteuerung!AL9</f>
        <v/>
      </c>
      <c r="AM8" s="410">
        <f>AM6*Annahmen!$C$80*Annahmen!$C$120*Modellsteuerung!AM9</f>
        <v/>
      </c>
      <c r="AN8" s="324">
        <f>SUM(D8:O8)</f>
        <v/>
      </c>
      <c r="AO8" s="324">
        <f>SUM(P8:AA8)</f>
        <v/>
      </c>
      <c r="AP8" s="324">
        <f>SUM(AB8:AM8)</f>
        <v/>
      </c>
      <c r="AQ8" s="410">
        <f>AQ6*Annahmen!$C$80*Annahmen!$C$120*Modellsteuerung!AQ9</f>
        <v/>
      </c>
      <c r="AR8" s="410">
        <f>AR6*Annahmen!$C$80*Annahmen!$C$120*Modellsteuerung!AR9</f>
        <v/>
      </c>
      <c r="AS8" s="410">
        <f>AS6*Annahmen!$C$80*Annahmen!$C$120*Modellsteuerung!AS9</f>
        <v/>
      </c>
      <c r="AT8" s="410">
        <f>AT6*Annahmen!$C$80*Annahmen!$C$120*Modellsteuerung!AT9</f>
        <v/>
      </c>
      <c r="AU8" s="410">
        <f>AU6*Annahmen!$C$80*Annahmen!$C$120*Modellsteuerung!AU9</f>
        <v/>
      </c>
      <c r="AV8" s="410">
        <f>AV6*Annahmen!$C$80*Annahmen!$C$120*Modellsteuerung!AV9</f>
        <v/>
      </c>
      <c r="AW8" s="410">
        <f>AW6*Annahmen!$C$80*Annahmen!$C$120*Modellsteuerung!AW9</f>
        <v/>
      </c>
      <c r="AX8" s="410">
        <f>AX6*Annahmen!$C$80*Annahmen!$C$120*Modellsteuerung!AX9</f>
        <v/>
      </c>
      <c r="AY8" s="324">
        <f>SUM(AQ8:AT8)</f>
        <v/>
      </c>
      <c r="AZ8" s="324">
        <f>SUM(AU8:AX8)</f>
        <v/>
      </c>
    </row>
    <row r="9" ht="15" customHeight="1">
      <c r="B9" s="314" t="inlineStr">
        <is>
          <t>B2B Retail Umsatz</t>
        </is>
      </c>
      <c r="D9" s="323">
        <f>D6*Annahmen!$C$80*(1-Annahmen!$C$120)*Modellsteuerung!D10</f>
        <v/>
      </c>
      <c r="E9" s="323">
        <f>E6*Annahmen!$C$80*(1-Annahmen!$C$120)*Modellsteuerung!E10</f>
        <v/>
      </c>
      <c r="F9" s="323">
        <f>F6*Annahmen!$C$80*(1-Annahmen!$C$120)*Modellsteuerung!F10</f>
        <v/>
      </c>
      <c r="G9" s="323">
        <f>G6*Annahmen!$C$80*(1-Annahmen!$C$120)*Modellsteuerung!G10</f>
        <v/>
      </c>
      <c r="H9" s="323">
        <f>H6*Annahmen!$C$80*(1-Annahmen!$C$120)*Modellsteuerung!H10</f>
        <v/>
      </c>
      <c r="I9" s="323">
        <f>I6*Annahmen!$C$80*(1-Annahmen!$C$120)*Modellsteuerung!I10</f>
        <v/>
      </c>
      <c r="J9" s="323">
        <f>J6*Annahmen!$C$80*(1-Annahmen!$C$120)*Modellsteuerung!J10</f>
        <v/>
      </c>
      <c r="K9" s="323">
        <f>K6*Annahmen!$C$80*(1-Annahmen!$C$120)*Modellsteuerung!K10</f>
        <v/>
      </c>
      <c r="L9" s="323">
        <f>L6*Annahmen!$C$80*(1-Annahmen!$C$120)*Modellsteuerung!L10</f>
        <v/>
      </c>
      <c r="M9" s="323">
        <f>M6*Annahmen!$C$80*(1-Annahmen!$C$120)*Modellsteuerung!M10</f>
        <v/>
      </c>
      <c r="N9" s="323">
        <f>N6*Annahmen!$C$80*(1-Annahmen!$C$120)*Modellsteuerung!N10</f>
        <v/>
      </c>
      <c r="O9" s="323">
        <f>O6*Annahmen!$C$80*(1-Annahmen!$C$120)*Modellsteuerung!O10</f>
        <v/>
      </c>
      <c r="P9" s="323">
        <f>P6*Annahmen!$C$80*(1-Annahmen!$C$120)*Modellsteuerung!P10</f>
        <v/>
      </c>
      <c r="Q9" s="323">
        <f>Q6*Annahmen!$C$80*(1-Annahmen!$C$120)*Modellsteuerung!Q10</f>
        <v/>
      </c>
      <c r="R9" s="323">
        <f>R6*Annahmen!$C$80*(1-Annahmen!$C$120)*Modellsteuerung!R10</f>
        <v/>
      </c>
      <c r="S9" s="323">
        <f>S6*Annahmen!$C$80*(1-Annahmen!$C$120)*Modellsteuerung!S10</f>
        <v/>
      </c>
      <c r="T9" s="323">
        <f>T6*Annahmen!$C$80*(1-Annahmen!$C$120)*Modellsteuerung!T10</f>
        <v/>
      </c>
      <c r="U9" s="323">
        <f>U6*Annahmen!$C$80*(1-Annahmen!$C$120)*Modellsteuerung!U10</f>
        <v/>
      </c>
      <c r="V9" s="323">
        <f>V6*Annahmen!$C$80*(1-Annahmen!$C$120)*Modellsteuerung!V10</f>
        <v/>
      </c>
      <c r="W9" s="323">
        <f>W6*Annahmen!$C$80*(1-Annahmen!$C$120)*Modellsteuerung!W10</f>
        <v/>
      </c>
      <c r="X9" s="323">
        <f>X6*Annahmen!$C$80*(1-Annahmen!$C$120)*Modellsteuerung!X10</f>
        <v/>
      </c>
      <c r="Y9" s="323">
        <f>Y6*Annahmen!$C$80*(1-Annahmen!$C$120)*Modellsteuerung!Y10</f>
        <v/>
      </c>
      <c r="Z9" s="323">
        <f>Z6*Annahmen!$C$80*(1-Annahmen!$C$120)*Modellsteuerung!Z10</f>
        <v/>
      </c>
      <c r="AA9" s="323">
        <f>AA6*Annahmen!$C$80*(1-Annahmen!$C$120)*Modellsteuerung!AA10</f>
        <v/>
      </c>
      <c r="AB9" s="323">
        <f>AB6*Annahmen!$C$80*(1-Annahmen!$C$120)*Modellsteuerung!AB10</f>
        <v/>
      </c>
      <c r="AC9" s="323">
        <f>AC6*Annahmen!$C$80*(1-Annahmen!$C$120)*Modellsteuerung!AC10</f>
        <v/>
      </c>
      <c r="AD9" s="323">
        <f>AD6*Annahmen!$C$80*(1-Annahmen!$C$120)*Modellsteuerung!AD10</f>
        <v/>
      </c>
      <c r="AE9" s="323">
        <f>AE6*Annahmen!$C$80*(1-Annahmen!$C$120)*Modellsteuerung!AE10</f>
        <v/>
      </c>
      <c r="AF9" s="323">
        <f>AF6*Annahmen!$C$80*(1-Annahmen!$C$120)*Modellsteuerung!AF10</f>
        <v/>
      </c>
      <c r="AG9" s="323">
        <f>AG6*Annahmen!$C$80*(1-Annahmen!$C$120)*Modellsteuerung!AG10</f>
        <v/>
      </c>
      <c r="AH9" s="323">
        <f>AH6*Annahmen!$C$80*(1-Annahmen!$C$120)*Modellsteuerung!AH10</f>
        <v/>
      </c>
      <c r="AI9" s="323">
        <f>AI6*Annahmen!$C$80*(1-Annahmen!$C$120)*Modellsteuerung!AI10</f>
        <v/>
      </c>
      <c r="AJ9" s="323">
        <f>AJ6*Annahmen!$C$80*(1-Annahmen!$C$120)*Modellsteuerung!AJ10</f>
        <v/>
      </c>
      <c r="AK9" s="323">
        <f>AK6*Annahmen!$C$80*(1-Annahmen!$C$120)*Modellsteuerung!AK10</f>
        <v/>
      </c>
      <c r="AL9" s="323">
        <f>AL6*Annahmen!$C$80*(1-Annahmen!$C$120)*Modellsteuerung!AL10</f>
        <v/>
      </c>
      <c r="AM9" s="323">
        <f>AM6*Annahmen!$C$80*(1-Annahmen!$C$120)*Modellsteuerung!AM10</f>
        <v/>
      </c>
      <c r="AN9" s="324">
        <f>SUM(D9:O9)</f>
        <v/>
      </c>
      <c r="AO9" s="324">
        <f>SUM(P9:AA9)</f>
        <v/>
      </c>
      <c r="AP9" s="324">
        <f>SUM(AB9:AM9)</f>
        <v/>
      </c>
      <c r="AQ9" s="323">
        <f>AQ6*Annahmen!$C$80*(1-Annahmen!$C$120)*Modellsteuerung!AQ10</f>
        <v/>
      </c>
      <c r="AR9" s="323">
        <f>AR6*Annahmen!$C$80*(1-Annahmen!$C$120)*Modellsteuerung!AR10</f>
        <v/>
      </c>
      <c r="AS9" s="323">
        <f>AS6*Annahmen!$C$80*(1-Annahmen!$C$120)*Modellsteuerung!AS10</f>
        <v/>
      </c>
      <c r="AT9" s="323">
        <f>AT6*Annahmen!$C$80*(1-Annahmen!$C$120)*Modellsteuerung!AT10</f>
        <v/>
      </c>
      <c r="AU9" s="323">
        <f>AU6*Annahmen!$C$80*(1-Annahmen!$C$120)*Modellsteuerung!AU10</f>
        <v/>
      </c>
      <c r="AV9" s="323">
        <f>AV6*Annahmen!$C$80*(1-Annahmen!$C$120)*Modellsteuerung!AV10</f>
        <v/>
      </c>
      <c r="AW9" s="323">
        <f>AW6*Annahmen!$C$80*(1-Annahmen!$C$120)*Modellsteuerung!AW10</f>
        <v/>
      </c>
      <c r="AX9" s="323">
        <f>AX6*Annahmen!$C$80*(1-Annahmen!$C$120)*Modellsteuerung!AX10</f>
        <v/>
      </c>
      <c r="AY9" s="324">
        <f>SUM(AQ9:AT9)</f>
        <v/>
      </c>
      <c r="AZ9" s="324">
        <f>SUM(AU9:AX9)</f>
        <v/>
      </c>
    </row>
    <row r="10" ht="15" customHeight="1">
      <c r="B10" s="406" t="inlineStr">
        <is>
          <t>B2C Umsatz</t>
        </is>
      </c>
      <c r="D10" s="410">
        <f>D6*(1-Annahmen!$C$80)*Modellsteuerung!D11</f>
        <v/>
      </c>
      <c r="E10" s="410">
        <f>E6*(1-Annahmen!$C$80)*Modellsteuerung!E11</f>
        <v/>
      </c>
      <c r="F10" s="410">
        <f>F6*(1-Annahmen!$C$80)*Modellsteuerung!F11</f>
        <v/>
      </c>
      <c r="G10" s="410">
        <f>G6*(1-Annahmen!$C$80)*Modellsteuerung!G11</f>
        <v/>
      </c>
      <c r="H10" s="410">
        <f>H6*(1-Annahmen!$C$80)*Modellsteuerung!H11</f>
        <v/>
      </c>
      <c r="I10" s="410">
        <f>I6*(1-Annahmen!$C$80)*Modellsteuerung!I11</f>
        <v/>
      </c>
      <c r="J10" s="410">
        <f>J6*(1-Annahmen!$C$80)*Modellsteuerung!J11</f>
        <v/>
      </c>
      <c r="K10" s="410">
        <f>K6*(1-Annahmen!$C$80)*Modellsteuerung!K11</f>
        <v/>
      </c>
      <c r="L10" s="410">
        <f>L6*(1-Annahmen!$C$80)*Modellsteuerung!L11</f>
        <v/>
      </c>
      <c r="M10" s="410">
        <f>M6*(1-Annahmen!$C$80)*Modellsteuerung!M11</f>
        <v/>
      </c>
      <c r="N10" s="410">
        <f>N6*(1-Annahmen!$C$80)*Modellsteuerung!N11</f>
        <v/>
      </c>
      <c r="O10" s="410">
        <f>O6*(1-Annahmen!$C$80)*Modellsteuerung!O11</f>
        <v/>
      </c>
      <c r="P10" s="410">
        <f>P6*(1-Annahmen!$C$80)*Modellsteuerung!P11</f>
        <v/>
      </c>
      <c r="Q10" s="410">
        <f>Q6*(1-Annahmen!$C$80)*Modellsteuerung!Q11</f>
        <v/>
      </c>
      <c r="R10" s="410">
        <f>R6*(1-Annahmen!$C$80)*Modellsteuerung!R11</f>
        <v/>
      </c>
      <c r="S10" s="410">
        <f>S6*(1-Annahmen!$C$80)*Modellsteuerung!S11</f>
        <v/>
      </c>
      <c r="T10" s="410">
        <f>T6*(1-Annahmen!$C$80)*Modellsteuerung!T11</f>
        <v/>
      </c>
      <c r="U10" s="410">
        <f>U6*(1-Annahmen!$C$80)*Modellsteuerung!U11</f>
        <v/>
      </c>
      <c r="V10" s="410">
        <f>V6*(1-Annahmen!$C$80)*Modellsteuerung!V11</f>
        <v/>
      </c>
      <c r="W10" s="410">
        <f>W6*(1-Annahmen!$C$80)*Modellsteuerung!W11</f>
        <v/>
      </c>
      <c r="X10" s="410">
        <f>X6*(1-Annahmen!$C$80)*Modellsteuerung!X11</f>
        <v/>
      </c>
      <c r="Y10" s="410">
        <f>Y6*(1-Annahmen!$C$80)*Modellsteuerung!Y11</f>
        <v/>
      </c>
      <c r="Z10" s="410">
        <f>Z6*(1-Annahmen!$C$80)*Modellsteuerung!Z11</f>
        <v/>
      </c>
      <c r="AA10" s="410">
        <f>AA6*(1-Annahmen!$C$80)*Modellsteuerung!AA11</f>
        <v/>
      </c>
      <c r="AB10" s="410">
        <f>AB6*(1-Annahmen!$C$80)*Modellsteuerung!AB11</f>
        <v/>
      </c>
      <c r="AC10" s="410">
        <f>AC6*(1-Annahmen!$C$80)*Modellsteuerung!AC11</f>
        <v/>
      </c>
      <c r="AD10" s="410">
        <f>AD6*(1-Annahmen!$C$80)*Modellsteuerung!AD11</f>
        <v/>
      </c>
      <c r="AE10" s="410">
        <f>AE6*(1-Annahmen!$C$80)*Modellsteuerung!AE11</f>
        <v/>
      </c>
      <c r="AF10" s="410">
        <f>AF6*(1-Annahmen!$C$80)*Modellsteuerung!AF11</f>
        <v/>
      </c>
      <c r="AG10" s="410">
        <f>AG6*(1-Annahmen!$C$80)*Modellsteuerung!AG11</f>
        <v/>
      </c>
      <c r="AH10" s="410">
        <f>AH6*(1-Annahmen!$C$80)*Modellsteuerung!AH11</f>
        <v/>
      </c>
      <c r="AI10" s="410">
        <f>AI6*(1-Annahmen!$C$80)*Modellsteuerung!AI11</f>
        <v/>
      </c>
      <c r="AJ10" s="410">
        <f>AJ6*(1-Annahmen!$C$80)*Modellsteuerung!AJ11</f>
        <v/>
      </c>
      <c r="AK10" s="410">
        <f>AK6*(1-Annahmen!$C$80)*Modellsteuerung!AK11</f>
        <v/>
      </c>
      <c r="AL10" s="410">
        <f>AL6*(1-Annahmen!$C$80)*Modellsteuerung!AL11</f>
        <v/>
      </c>
      <c r="AM10" s="410">
        <f>AM6*(1-Annahmen!$C$80)*Modellsteuerung!AM11</f>
        <v/>
      </c>
      <c r="AN10" s="324">
        <f>SUM(D10:O10)</f>
        <v/>
      </c>
      <c r="AO10" s="324">
        <f>SUM(P10:AA10)</f>
        <v/>
      </c>
      <c r="AP10" s="324">
        <f>SUM(AB10:AM10)</f>
        <v/>
      </c>
      <c r="AQ10" s="410">
        <f>AQ6*(1-Annahmen!$C$80)*Modellsteuerung!AQ11</f>
        <v/>
      </c>
      <c r="AR10" s="410">
        <f>AR6*(1-Annahmen!$C$80)*Modellsteuerung!AR11</f>
        <v/>
      </c>
      <c r="AS10" s="410">
        <f>AS6*(1-Annahmen!$C$80)*Modellsteuerung!AS11</f>
        <v/>
      </c>
      <c r="AT10" s="410">
        <f>AT6*(1-Annahmen!$C$80)*Modellsteuerung!AT11</f>
        <v/>
      </c>
      <c r="AU10" s="410">
        <f>AU6*(1-Annahmen!$C$80)*Modellsteuerung!AU11</f>
        <v/>
      </c>
      <c r="AV10" s="410">
        <f>AV6*(1-Annahmen!$C$80)*Modellsteuerung!AV11</f>
        <v/>
      </c>
      <c r="AW10" s="410">
        <f>AW6*(1-Annahmen!$C$80)*Modellsteuerung!AW11</f>
        <v/>
      </c>
      <c r="AX10" s="410">
        <f>AX6*(1-Annahmen!$C$80)*Modellsteuerung!AX11</f>
        <v/>
      </c>
      <c r="AY10" s="324">
        <f>SUM(AQ10:AT10)</f>
        <v/>
      </c>
      <c r="AZ10" s="324">
        <f>SUM(AU10:AX10)</f>
        <v/>
      </c>
    </row>
    <row r="11" ht="15" customHeight="1">
      <c r="B11" s="325" t="inlineStr">
        <is>
          <t>BRUTTOUMSATZ</t>
        </is>
      </c>
      <c r="C11" s="43" t="n"/>
      <c r="D11" s="324">
        <f>D8+D9+D10</f>
        <v/>
      </c>
      <c r="E11" s="324">
        <f>E8+E9+E10</f>
        <v/>
      </c>
      <c r="F11" s="324">
        <f>F8+F9+F10</f>
        <v/>
      </c>
      <c r="G11" s="324">
        <f>G8+G9+G10</f>
        <v/>
      </c>
      <c r="H11" s="324">
        <f>H8+H9+H10</f>
        <v/>
      </c>
      <c r="I11" s="324">
        <f>I8+I9+I10</f>
        <v/>
      </c>
      <c r="J11" s="324">
        <f>J8+J9+J10</f>
        <v/>
      </c>
      <c r="K11" s="324">
        <f>K8+K9+K10</f>
        <v/>
      </c>
      <c r="L11" s="324">
        <f>L8+L9+L10</f>
        <v/>
      </c>
      <c r="M11" s="324">
        <f>M8+M9+M10</f>
        <v/>
      </c>
      <c r="N11" s="324">
        <f>N8+N9+N10</f>
        <v/>
      </c>
      <c r="O11" s="324">
        <f>O8+O9+O10</f>
        <v/>
      </c>
      <c r="P11" s="324">
        <f>P8+P9+P10</f>
        <v/>
      </c>
      <c r="Q11" s="324">
        <f>Q8+Q9+Q10</f>
        <v/>
      </c>
      <c r="R11" s="324">
        <f>R8+R9+R10</f>
        <v/>
      </c>
      <c r="S11" s="324">
        <f>S8+S9+S10</f>
        <v/>
      </c>
      <c r="T11" s="324">
        <f>T8+T9+T10</f>
        <v/>
      </c>
      <c r="U11" s="324">
        <f>U8+U9+U10</f>
        <v/>
      </c>
      <c r="V11" s="324">
        <f>V8+V9+V10</f>
        <v/>
      </c>
      <c r="W11" s="324">
        <f>W8+W9+W10</f>
        <v/>
      </c>
      <c r="X11" s="324">
        <f>X8+X9+X10</f>
        <v/>
      </c>
      <c r="Y11" s="324">
        <f>Y8+Y9+Y10</f>
        <v/>
      </c>
      <c r="Z11" s="324">
        <f>Z8+Z9+Z10</f>
        <v/>
      </c>
      <c r="AA11" s="324">
        <f>AA8+AA9+AA10</f>
        <v/>
      </c>
      <c r="AB11" s="324">
        <f>AB8+AB9+AB10</f>
        <v/>
      </c>
      <c r="AC11" s="324">
        <f>AC8+AC9+AC10</f>
        <v/>
      </c>
      <c r="AD11" s="324">
        <f>AD8+AD9+AD10</f>
        <v/>
      </c>
      <c r="AE11" s="324">
        <f>AE8+AE9+AE10</f>
        <v/>
      </c>
      <c r="AF11" s="324">
        <f>AF8+AF9+AF10</f>
        <v/>
      </c>
      <c r="AG11" s="324">
        <f>AG8+AG9+AG10</f>
        <v/>
      </c>
      <c r="AH11" s="324">
        <f>AH8+AH9+AH10</f>
        <v/>
      </c>
      <c r="AI11" s="324">
        <f>AI8+AI9+AI10</f>
        <v/>
      </c>
      <c r="AJ11" s="324">
        <f>AJ8+AJ9+AJ10</f>
        <v/>
      </c>
      <c r="AK11" s="324">
        <f>AK8+AK9+AK10</f>
        <v/>
      </c>
      <c r="AL11" s="324">
        <f>AL8+AL9+AL10</f>
        <v/>
      </c>
      <c r="AM11" s="324">
        <f>AM8+AM9+AM10</f>
        <v/>
      </c>
      <c r="AN11" s="324">
        <f>SUM(D11:O11)</f>
        <v/>
      </c>
      <c r="AO11" s="324">
        <f>SUM(P11:AA11)</f>
        <v/>
      </c>
      <c r="AP11" s="324">
        <f>SUM(AB11:AM11)</f>
        <v/>
      </c>
      <c r="AQ11" s="324">
        <f>AQ8+AQ9+AQ10</f>
        <v/>
      </c>
      <c r="AR11" s="324">
        <f>AR8+AR9+AR10</f>
        <v/>
      </c>
      <c r="AS11" s="324">
        <f>AS8+AS9+AS10</f>
        <v/>
      </c>
      <c r="AT11" s="324">
        <f>AT8+AT9+AT10</f>
        <v/>
      </c>
      <c r="AU11" s="324">
        <f>AU8+AU9+AU10</f>
        <v/>
      </c>
      <c r="AV11" s="324">
        <f>AV8+AV9+AV10</f>
        <v/>
      </c>
      <c r="AW11" s="324">
        <f>AW8+AW9+AW10</f>
        <v/>
      </c>
      <c r="AX11" s="324">
        <f>AX8+AX9+AX10</f>
        <v/>
      </c>
      <c r="AY11" s="324">
        <f>SUM(AQ11:AT11)</f>
        <v/>
      </c>
      <c r="AZ11" s="324">
        <f>SUM(AU11:AX11)</f>
        <v/>
      </c>
    </row>
    <row r="13" ht="15" customHeight="1">
      <c r="B13" s="314" t="inlineStr">
        <is>
          <t>Verpackung &amp; Versand</t>
        </is>
      </c>
      <c r="D13" s="323">
        <f>-D6*Modellsteuerung!D16</f>
        <v/>
      </c>
      <c r="E13" s="323">
        <f>-E6*Modellsteuerung!E16</f>
        <v/>
      </c>
      <c r="F13" s="323">
        <f>-F6*Modellsteuerung!F16</f>
        <v/>
      </c>
      <c r="G13" s="323">
        <f>-G6*Modellsteuerung!G16</f>
        <v/>
      </c>
      <c r="H13" s="323">
        <f>-H6*Modellsteuerung!H16</f>
        <v/>
      </c>
      <c r="I13" s="323">
        <f>-I6*Modellsteuerung!I16</f>
        <v/>
      </c>
      <c r="J13" s="323">
        <f>-J6*Modellsteuerung!J16</f>
        <v/>
      </c>
      <c r="K13" s="323">
        <f>-K6*Modellsteuerung!K16</f>
        <v/>
      </c>
      <c r="L13" s="323">
        <f>-L6*Modellsteuerung!L16</f>
        <v/>
      </c>
      <c r="M13" s="323">
        <f>-M6*Modellsteuerung!M16</f>
        <v/>
      </c>
      <c r="N13" s="323">
        <f>-N6*Modellsteuerung!N16</f>
        <v/>
      </c>
      <c r="O13" s="323">
        <f>-O6*Modellsteuerung!O16</f>
        <v/>
      </c>
      <c r="P13" s="323">
        <f>-P6*Modellsteuerung!P16</f>
        <v/>
      </c>
      <c r="Q13" s="323">
        <f>-Q6*Modellsteuerung!Q16</f>
        <v/>
      </c>
      <c r="R13" s="323">
        <f>-R6*Modellsteuerung!R16</f>
        <v/>
      </c>
      <c r="S13" s="323">
        <f>-S6*Modellsteuerung!S16</f>
        <v/>
      </c>
      <c r="T13" s="323">
        <f>-T6*Modellsteuerung!T16</f>
        <v/>
      </c>
      <c r="U13" s="323">
        <f>-U6*Modellsteuerung!U16</f>
        <v/>
      </c>
      <c r="V13" s="323">
        <f>-V6*Modellsteuerung!V16</f>
        <v/>
      </c>
      <c r="W13" s="323">
        <f>-W6*Modellsteuerung!W16</f>
        <v/>
      </c>
      <c r="X13" s="323">
        <f>-X6*Modellsteuerung!X16</f>
        <v/>
      </c>
      <c r="Y13" s="323">
        <f>-Y6*Modellsteuerung!Y16</f>
        <v/>
      </c>
      <c r="Z13" s="323">
        <f>-Z6*Modellsteuerung!Z16</f>
        <v/>
      </c>
      <c r="AA13" s="323">
        <f>-AA6*Modellsteuerung!AA16</f>
        <v/>
      </c>
      <c r="AB13" s="323">
        <f>-AB6*Modellsteuerung!AB16</f>
        <v/>
      </c>
      <c r="AC13" s="323">
        <f>-AC6*Modellsteuerung!AC16</f>
        <v/>
      </c>
      <c r="AD13" s="323">
        <f>-AD6*Modellsteuerung!AD16</f>
        <v/>
      </c>
      <c r="AE13" s="323">
        <f>-AE6*Modellsteuerung!AE16</f>
        <v/>
      </c>
      <c r="AF13" s="323">
        <f>-AF6*Modellsteuerung!AF16</f>
        <v/>
      </c>
      <c r="AG13" s="323">
        <f>-AG6*Modellsteuerung!AG16</f>
        <v/>
      </c>
      <c r="AH13" s="323">
        <f>-AH6*Modellsteuerung!AH16</f>
        <v/>
      </c>
      <c r="AI13" s="323">
        <f>-AI6*Modellsteuerung!AI16</f>
        <v/>
      </c>
      <c r="AJ13" s="323">
        <f>-AJ6*Modellsteuerung!AJ16</f>
        <v/>
      </c>
      <c r="AK13" s="323">
        <f>-AK6*Modellsteuerung!AK16</f>
        <v/>
      </c>
      <c r="AL13" s="323">
        <f>-AL6*Modellsteuerung!AL16</f>
        <v/>
      </c>
      <c r="AM13" s="323">
        <f>-AM6*Modellsteuerung!AM16</f>
        <v/>
      </c>
      <c r="AN13" s="324">
        <f>SUM(D13:O13)</f>
        <v/>
      </c>
      <c r="AO13" s="324">
        <f>SUM(P13:AA13)</f>
        <v/>
      </c>
      <c r="AP13" s="324">
        <f>SUM(AB13:AM13)</f>
        <v/>
      </c>
      <c r="AQ13" s="323">
        <f>-AQ6*Modellsteuerung!AQ16</f>
        <v/>
      </c>
      <c r="AR13" s="323">
        <f>-AR6*Modellsteuerung!AR16</f>
        <v/>
      </c>
      <c r="AS13" s="323">
        <f>-AS6*Modellsteuerung!AS16</f>
        <v/>
      </c>
      <c r="AT13" s="323">
        <f>-AT6*Modellsteuerung!AT16</f>
        <v/>
      </c>
      <c r="AU13" s="323">
        <f>-AU6*Modellsteuerung!AU16</f>
        <v/>
      </c>
      <c r="AV13" s="323">
        <f>-AV6*Modellsteuerung!AV16</f>
        <v/>
      </c>
      <c r="AW13" s="323">
        <f>-AW6*Modellsteuerung!AW16</f>
        <v/>
      </c>
      <c r="AX13" s="323">
        <f>-AX6*Modellsteuerung!AX16</f>
        <v/>
      </c>
      <c r="AY13" s="324">
        <f>SUM(AQ13:AT13)</f>
        <v/>
      </c>
      <c r="AZ13" s="324">
        <f>SUM(AU13:AX13)</f>
        <v/>
      </c>
    </row>
    <row r="14" ht="15" customHeight="1">
      <c r="B14" s="325" t="inlineStr">
        <is>
          <t>NETTOUMSATZ</t>
        </is>
      </c>
      <c r="C14" s="43" t="n"/>
      <c r="D14" s="324">
        <f>D11+D13</f>
        <v/>
      </c>
      <c r="E14" s="324">
        <f>E11+E13</f>
        <v/>
      </c>
      <c r="F14" s="324">
        <f>F11+F13</f>
        <v/>
      </c>
      <c r="G14" s="324">
        <f>G11+G13</f>
        <v/>
      </c>
      <c r="H14" s="324">
        <f>H11+H13</f>
        <v/>
      </c>
      <c r="I14" s="324">
        <f>I11+I13</f>
        <v/>
      </c>
      <c r="J14" s="324">
        <f>J11+J13</f>
        <v/>
      </c>
      <c r="K14" s="324">
        <f>K11+K13</f>
        <v/>
      </c>
      <c r="L14" s="324">
        <f>L11+L13</f>
        <v/>
      </c>
      <c r="M14" s="324">
        <f>M11+M13</f>
        <v/>
      </c>
      <c r="N14" s="324">
        <f>N11+N13</f>
        <v/>
      </c>
      <c r="O14" s="324">
        <f>O11+O13</f>
        <v/>
      </c>
      <c r="P14" s="324">
        <f>P11+P13</f>
        <v/>
      </c>
      <c r="Q14" s="324">
        <f>Q11+Q13</f>
        <v/>
      </c>
      <c r="R14" s="324">
        <f>R11+R13</f>
        <v/>
      </c>
      <c r="S14" s="324">
        <f>S11+S13</f>
        <v/>
      </c>
      <c r="T14" s="324">
        <f>T11+T13</f>
        <v/>
      </c>
      <c r="U14" s="324">
        <f>U11+U13</f>
        <v/>
      </c>
      <c r="V14" s="324">
        <f>V11+V13</f>
        <v/>
      </c>
      <c r="W14" s="324">
        <f>W11+W13</f>
        <v/>
      </c>
      <c r="X14" s="324">
        <f>X11+X13</f>
        <v/>
      </c>
      <c r="Y14" s="324">
        <f>Y11+Y13</f>
        <v/>
      </c>
      <c r="Z14" s="324">
        <f>Z11+Z13</f>
        <v/>
      </c>
      <c r="AA14" s="324">
        <f>AA11+AA13</f>
        <v/>
      </c>
      <c r="AB14" s="324">
        <f>AB11+AB13</f>
        <v/>
      </c>
      <c r="AC14" s="324">
        <f>AC11+AC13</f>
        <v/>
      </c>
      <c r="AD14" s="324">
        <f>AD11+AD13</f>
        <v/>
      </c>
      <c r="AE14" s="324">
        <f>AE11+AE13</f>
        <v/>
      </c>
      <c r="AF14" s="324">
        <f>AF11+AF13</f>
        <v/>
      </c>
      <c r="AG14" s="324">
        <f>AG11+AG13</f>
        <v/>
      </c>
      <c r="AH14" s="324">
        <f>AH11+AH13</f>
        <v/>
      </c>
      <c r="AI14" s="324">
        <f>AI11+AI13</f>
        <v/>
      </c>
      <c r="AJ14" s="324">
        <f>AJ11+AJ13</f>
        <v/>
      </c>
      <c r="AK14" s="324">
        <f>AK11+AK13</f>
        <v/>
      </c>
      <c r="AL14" s="324">
        <f>AL11+AL13</f>
        <v/>
      </c>
      <c r="AM14" s="324">
        <f>AM11+AM13</f>
        <v/>
      </c>
      <c r="AN14" s="324">
        <f>SUM(D14:O14)</f>
        <v/>
      </c>
      <c r="AO14" s="324">
        <f>SUM(P14:AA14)</f>
        <v/>
      </c>
      <c r="AP14" s="324">
        <f>SUM(AB14:AM14)</f>
        <v/>
      </c>
      <c r="AQ14" s="324">
        <f>AQ11+AQ13</f>
        <v/>
      </c>
      <c r="AR14" s="324">
        <f>AR11+AR13</f>
        <v/>
      </c>
      <c r="AS14" s="324">
        <f>AS11+AS13</f>
        <v/>
      </c>
      <c r="AT14" s="324">
        <f>AT11+AT13</f>
        <v/>
      </c>
      <c r="AU14" s="324">
        <f>AU11+AU13</f>
        <v/>
      </c>
      <c r="AV14" s="324">
        <f>AV11+AV13</f>
        <v/>
      </c>
      <c r="AW14" s="324">
        <f>AW11+AW13</f>
        <v/>
      </c>
      <c r="AX14" s="324">
        <f>AX11+AX13</f>
        <v/>
      </c>
      <c r="AY14" s="324">
        <f>SUM(AQ14:AT14)</f>
        <v/>
      </c>
      <c r="AZ14" s="324">
        <f>SUM(AU14:AX14)</f>
        <v/>
      </c>
    </row>
    <row r="16" ht="15" customHeight="1">
      <c r="B16" s="406" t="inlineStr">
        <is>
          <t>B. HERSTELLKOSTEN (COGS)</t>
        </is>
      </c>
    </row>
    <row r="17" ht="15" customHeight="1">
      <c r="B17" s="314" t="inlineStr">
        <is>
          <t>Variable Produktionskosten</t>
        </is>
      </c>
      <c r="D17" s="323">
        <f>-D6*Modellsteuerung!D12</f>
        <v/>
      </c>
      <c r="E17" s="323">
        <f>-E6*Modellsteuerung!E12</f>
        <v/>
      </c>
      <c r="F17" s="323">
        <f>-F6*Modellsteuerung!F12</f>
        <v/>
      </c>
      <c r="G17" s="323">
        <f>-G6*Modellsteuerung!G12</f>
        <v/>
      </c>
      <c r="H17" s="323">
        <f>-H6*Modellsteuerung!H12</f>
        <v/>
      </c>
      <c r="I17" s="323">
        <f>-I6*Modellsteuerung!I12</f>
        <v/>
      </c>
      <c r="J17" s="323">
        <f>-J6*Modellsteuerung!J12</f>
        <v/>
      </c>
      <c r="K17" s="323">
        <f>-K6*Modellsteuerung!K12</f>
        <v/>
      </c>
      <c r="L17" s="323">
        <f>-L6*Modellsteuerung!L12</f>
        <v/>
      </c>
      <c r="M17" s="323">
        <f>-M6*Modellsteuerung!M12</f>
        <v/>
      </c>
      <c r="N17" s="323">
        <f>-N6*Modellsteuerung!N12</f>
        <v/>
      </c>
      <c r="O17" s="323">
        <f>-O6*Modellsteuerung!O12</f>
        <v/>
      </c>
      <c r="P17" s="323">
        <f>-P6*Modellsteuerung!P12</f>
        <v/>
      </c>
      <c r="Q17" s="323">
        <f>-Q6*Modellsteuerung!Q12</f>
        <v/>
      </c>
      <c r="R17" s="323">
        <f>-R6*Modellsteuerung!R12</f>
        <v/>
      </c>
      <c r="S17" s="323">
        <f>-S6*Modellsteuerung!S12</f>
        <v/>
      </c>
      <c r="T17" s="323">
        <f>-T6*Modellsteuerung!T12</f>
        <v/>
      </c>
      <c r="U17" s="323">
        <f>-U6*Modellsteuerung!U12</f>
        <v/>
      </c>
      <c r="V17" s="323">
        <f>-V6*Modellsteuerung!V12</f>
        <v/>
      </c>
      <c r="W17" s="323">
        <f>-W6*Modellsteuerung!W12</f>
        <v/>
      </c>
      <c r="X17" s="323">
        <f>-X6*Modellsteuerung!X12</f>
        <v/>
      </c>
      <c r="Y17" s="323">
        <f>-Y6*Modellsteuerung!Y12</f>
        <v/>
      </c>
      <c r="Z17" s="323">
        <f>-Z6*Modellsteuerung!Z12</f>
        <v/>
      </c>
      <c r="AA17" s="323">
        <f>-AA6*Modellsteuerung!AA12</f>
        <v/>
      </c>
      <c r="AB17" s="323">
        <f>-AB6*Modellsteuerung!AB12</f>
        <v/>
      </c>
      <c r="AC17" s="323">
        <f>-AC6*Modellsteuerung!AC12</f>
        <v/>
      </c>
      <c r="AD17" s="323">
        <f>-AD6*Modellsteuerung!AD12</f>
        <v/>
      </c>
      <c r="AE17" s="323">
        <f>-AE6*Modellsteuerung!AE12</f>
        <v/>
      </c>
      <c r="AF17" s="323">
        <f>-AF6*Modellsteuerung!AF12</f>
        <v/>
      </c>
      <c r="AG17" s="323">
        <f>-AG6*Modellsteuerung!AG12</f>
        <v/>
      </c>
      <c r="AH17" s="323">
        <f>-AH6*Modellsteuerung!AH12</f>
        <v/>
      </c>
      <c r="AI17" s="323">
        <f>-AI6*Modellsteuerung!AI12</f>
        <v/>
      </c>
      <c r="AJ17" s="323">
        <f>-AJ6*Modellsteuerung!AJ12</f>
        <v/>
      </c>
      <c r="AK17" s="323">
        <f>-AK6*Modellsteuerung!AK12</f>
        <v/>
      </c>
      <c r="AL17" s="323">
        <f>-AL6*Modellsteuerung!AL12</f>
        <v/>
      </c>
      <c r="AM17" s="323">
        <f>-AM6*Modellsteuerung!AM12</f>
        <v/>
      </c>
      <c r="AN17" s="324">
        <f>SUM(D17:O17)</f>
        <v/>
      </c>
      <c r="AO17" s="324">
        <f>SUM(P17:AA17)</f>
        <v/>
      </c>
      <c r="AP17" s="324">
        <f>SUM(AB17:AM17)</f>
        <v/>
      </c>
      <c r="AQ17" s="323">
        <f>-AQ6*Modellsteuerung!AQ12</f>
        <v/>
      </c>
      <c r="AR17" s="323">
        <f>-AR6*Modellsteuerung!AR12</f>
        <v/>
      </c>
      <c r="AS17" s="323">
        <f>-AS6*Modellsteuerung!AS12</f>
        <v/>
      </c>
      <c r="AT17" s="323">
        <f>-AT6*Modellsteuerung!AT12</f>
        <v/>
      </c>
      <c r="AU17" s="323">
        <f>-AU6*Modellsteuerung!AU12</f>
        <v/>
      </c>
      <c r="AV17" s="323">
        <f>-AV6*Modellsteuerung!AV12</f>
        <v/>
      </c>
      <c r="AW17" s="323">
        <f>-AW6*Modellsteuerung!AW12</f>
        <v/>
      </c>
      <c r="AX17" s="323">
        <f>-AX6*Modellsteuerung!AX12</f>
        <v/>
      </c>
      <c r="AY17" s="324">
        <f>SUM(AQ17:AT17)</f>
        <v/>
      </c>
      <c r="AZ17" s="324">
        <f>SUM(AU17:AX17)</f>
        <v/>
      </c>
    </row>
    <row r="18" ht="15" customHeight="1">
      <c r="B18" s="406" t="inlineStr">
        <is>
          <t>Abschreibungen (AfA)</t>
        </is>
      </c>
      <c r="D18" s="410">
        <f>-Modellsteuerung!D17</f>
        <v/>
      </c>
      <c r="E18" s="410">
        <f>-Modellsteuerung!E17</f>
        <v/>
      </c>
      <c r="F18" s="410">
        <f>-Modellsteuerung!F17</f>
        <v/>
      </c>
      <c r="G18" s="410">
        <f>-Modellsteuerung!G17</f>
        <v/>
      </c>
      <c r="H18" s="410">
        <f>-Modellsteuerung!H17</f>
        <v/>
      </c>
      <c r="I18" s="410">
        <f>-Modellsteuerung!I17</f>
        <v/>
      </c>
      <c r="J18" s="410">
        <f>-Modellsteuerung!J17</f>
        <v/>
      </c>
      <c r="K18" s="410">
        <f>-Modellsteuerung!K17</f>
        <v/>
      </c>
      <c r="L18" s="410">
        <f>-Modellsteuerung!L17</f>
        <v/>
      </c>
      <c r="M18" s="410">
        <f>-Modellsteuerung!M17</f>
        <v/>
      </c>
      <c r="N18" s="410">
        <f>-Modellsteuerung!N17</f>
        <v/>
      </c>
      <c r="O18" s="410">
        <f>-Modellsteuerung!O17</f>
        <v/>
      </c>
      <c r="P18" s="410">
        <f>-Modellsteuerung!P17</f>
        <v/>
      </c>
      <c r="Q18" s="410">
        <f>-Modellsteuerung!Q17</f>
        <v/>
      </c>
      <c r="R18" s="410">
        <f>-Modellsteuerung!R17</f>
        <v/>
      </c>
      <c r="S18" s="410">
        <f>-Modellsteuerung!S17</f>
        <v/>
      </c>
      <c r="T18" s="410">
        <f>-Modellsteuerung!T17</f>
        <v/>
      </c>
      <c r="U18" s="410">
        <f>-Modellsteuerung!U17</f>
        <v/>
      </c>
      <c r="V18" s="410">
        <f>-Modellsteuerung!V17</f>
        <v/>
      </c>
      <c r="W18" s="410">
        <f>-Modellsteuerung!W17</f>
        <v/>
      </c>
      <c r="X18" s="410">
        <f>-Modellsteuerung!X17</f>
        <v/>
      </c>
      <c r="Y18" s="410">
        <f>-Modellsteuerung!Y17</f>
        <v/>
      </c>
      <c r="Z18" s="410">
        <f>-Modellsteuerung!Z17</f>
        <v/>
      </c>
      <c r="AA18" s="410">
        <f>-Modellsteuerung!AA17</f>
        <v/>
      </c>
      <c r="AB18" s="410">
        <f>-Modellsteuerung!AB17</f>
        <v/>
      </c>
      <c r="AC18" s="410">
        <f>-Modellsteuerung!AC17</f>
        <v/>
      </c>
      <c r="AD18" s="410">
        <f>-Modellsteuerung!AD17</f>
        <v/>
      </c>
      <c r="AE18" s="410">
        <f>-Modellsteuerung!AE17</f>
        <v/>
      </c>
      <c r="AF18" s="410">
        <f>-Modellsteuerung!AF17</f>
        <v/>
      </c>
      <c r="AG18" s="410">
        <f>-Modellsteuerung!AG17</f>
        <v/>
      </c>
      <c r="AH18" s="410">
        <f>-Modellsteuerung!AH17</f>
        <v/>
      </c>
      <c r="AI18" s="410">
        <f>-Modellsteuerung!AI17</f>
        <v/>
      </c>
      <c r="AJ18" s="410">
        <f>-Modellsteuerung!AJ17</f>
        <v/>
      </c>
      <c r="AK18" s="410">
        <f>-Modellsteuerung!AK17</f>
        <v/>
      </c>
      <c r="AL18" s="410">
        <f>-Modellsteuerung!AL17</f>
        <v/>
      </c>
      <c r="AM18" s="410">
        <f>-Modellsteuerung!AM17</f>
        <v/>
      </c>
      <c r="AN18" s="324">
        <f>SUM(D18:O18)</f>
        <v/>
      </c>
      <c r="AO18" s="324">
        <f>SUM(P18:AA18)</f>
        <v/>
      </c>
      <c r="AP18" s="324">
        <f>SUM(AB18:AM18)</f>
        <v/>
      </c>
      <c r="AQ18" s="410">
        <f>-Modellsteuerung!AQ17</f>
        <v/>
      </c>
      <c r="AR18" s="410">
        <f>-Modellsteuerung!AR17</f>
        <v/>
      </c>
      <c r="AS18" s="410">
        <f>-Modellsteuerung!AS17</f>
        <v/>
      </c>
      <c r="AT18" s="410">
        <f>-Modellsteuerung!AT17</f>
        <v/>
      </c>
      <c r="AU18" s="410">
        <f>-Modellsteuerung!AU17</f>
        <v/>
      </c>
      <c r="AV18" s="410">
        <f>-Modellsteuerung!AV17</f>
        <v/>
      </c>
      <c r="AW18" s="410">
        <f>-Modellsteuerung!AW17</f>
        <v/>
      </c>
      <c r="AX18" s="410">
        <f>-Modellsteuerung!AX17</f>
        <v/>
      </c>
      <c r="AY18" s="324">
        <f>SUM(AQ18:AT18)</f>
        <v/>
      </c>
      <c r="AZ18" s="324">
        <f>SUM(AU18:AX18)</f>
        <v/>
      </c>
    </row>
    <row r="19" ht="15" customHeight="1">
      <c r="B19" s="325" t="inlineStr">
        <is>
          <t>SUMME COGS</t>
        </is>
      </c>
      <c r="C19" s="43" t="n"/>
      <c r="D19" s="324">
        <f>D17+D18</f>
        <v/>
      </c>
      <c r="E19" s="324">
        <f>E17+E18</f>
        <v/>
      </c>
      <c r="F19" s="324">
        <f>F17+F18</f>
        <v/>
      </c>
      <c r="G19" s="324">
        <f>G17+G18</f>
        <v/>
      </c>
      <c r="H19" s="324">
        <f>H17+H18</f>
        <v/>
      </c>
      <c r="I19" s="324">
        <f>I17+I18</f>
        <v/>
      </c>
      <c r="J19" s="324">
        <f>J17+J18</f>
        <v/>
      </c>
      <c r="K19" s="324">
        <f>K17+K18</f>
        <v/>
      </c>
      <c r="L19" s="324">
        <f>L17+L18</f>
        <v/>
      </c>
      <c r="M19" s="324">
        <f>M17+M18</f>
        <v/>
      </c>
      <c r="N19" s="324">
        <f>N17+N18</f>
        <v/>
      </c>
      <c r="O19" s="324">
        <f>O17+O18</f>
        <v/>
      </c>
      <c r="P19" s="324">
        <f>P17+P18</f>
        <v/>
      </c>
      <c r="Q19" s="324">
        <f>Q17+Q18</f>
        <v/>
      </c>
      <c r="R19" s="324">
        <f>R17+R18</f>
        <v/>
      </c>
      <c r="S19" s="324">
        <f>S17+S18</f>
        <v/>
      </c>
      <c r="T19" s="324">
        <f>T17+T18</f>
        <v/>
      </c>
      <c r="U19" s="324">
        <f>U17+U18</f>
        <v/>
      </c>
      <c r="V19" s="324">
        <f>V17+V18</f>
        <v/>
      </c>
      <c r="W19" s="324">
        <f>W17+W18</f>
        <v/>
      </c>
      <c r="X19" s="324">
        <f>X17+X18</f>
        <v/>
      </c>
      <c r="Y19" s="324">
        <f>Y17+Y18</f>
        <v/>
      </c>
      <c r="Z19" s="324">
        <f>Z17+Z18</f>
        <v/>
      </c>
      <c r="AA19" s="324">
        <f>AA17+AA18</f>
        <v/>
      </c>
      <c r="AB19" s="324">
        <f>AB17+AB18</f>
        <v/>
      </c>
      <c r="AC19" s="324">
        <f>AC17+AC18</f>
        <v/>
      </c>
      <c r="AD19" s="324">
        <f>AD17+AD18</f>
        <v/>
      </c>
      <c r="AE19" s="324">
        <f>AE17+AE18</f>
        <v/>
      </c>
      <c r="AF19" s="324">
        <f>AF17+AF18</f>
        <v/>
      </c>
      <c r="AG19" s="324">
        <f>AG17+AG18</f>
        <v/>
      </c>
      <c r="AH19" s="324">
        <f>AH17+AH18</f>
        <v/>
      </c>
      <c r="AI19" s="324">
        <f>AI17+AI18</f>
        <v/>
      </c>
      <c r="AJ19" s="324">
        <f>AJ17+AJ18</f>
        <v/>
      </c>
      <c r="AK19" s="324">
        <f>AK17+AK18</f>
        <v/>
      </c>
      <c r="AL19" s="324">
        <f>AL17+AL18</f>
        <v/>
      </c>
      <c r="AM19" s="324">
        <f>AM17+AM18</f>
        <v/>
      </c>
      <c r="AN19" s="324">
        <f>SUM(D19:O19)</f>
        <v/>
      </c>
      <c r="AO19" s="324">
        <f>SUM(P19:AA19)</f>
        <v/>
      </c>
      <c r="AP19" s="324">
        <f>SUM(AB19:AM19)</f>
        <v/>
      </c>
      <c r="AQ19" s="324">
        <f>AQ17+AQ18</f>
        <v/>
      </c>
      <c r="AR19" s="324">
        <f>AR17+AR18</f>
        <v/>
      </c>
      <c r="AS19" s="324">
        <f>AS17+AS18</f>
        <v/>
      </c>
      <c r="AT19" s="324">
        <f>AT17+AT18</f>
        <v/>
      </c>
      <c r="AU19" s="324">
        <f>AU17+AU18</f>
        <v/>
      </c>
      <c r="AV19" s="324">
        <f>AV17+AV18</f>
        <v/>
      </c>
      <c r="AW19" s="324">
        <f>AW17+AW18</f>
        <v/>
      </c>
      <c r="AX19" s="324">
        <f>AX17+AX18</f>
        <v/>
      </c>
      <c r="AY19" s="324">
        <f>SUM(AQ19:AT19)</f>
        <v/>
      </c>
      <c r="AZ19" s="324">
        <f>SUM(AU19:AX19)</f>
        <v/>
      </c>
    </row>
    <row r="21" ht="15" customHeight="1">
      <c r="B21" s="326" t="inlineStr">
        <is>
          <t>BRUTTOERGEBNIS (Gross Profit)</t>
        </is>
      </c>
      <c r="C21" s="46" t="n"/>
      <c r="D21" s="327">
        <f>D14+D19</f>
        <v/>
      </c>
      <c r="E21" s="327">
        <f>E14+E19</f>
        <v/>
      </c>
      <c r="F21" s="327">
        <f>F14+F19</f>
        <v/>
      </c>
      <c r="G21" s="327">
        <f>G14+G19</f>
        <v/>
      </c>
      <c r="H21" s="327">
        <f>H14+H19</f>
        <v/>
      </c>
      <c r="I21" s="327">
        <f>I14+I19</f>
        <v/>
      </c>
      <c r="J21" s="327">
        <f>J14+J19</f>
        <v/>
      </c>
      <c r="K21" s="327">
        <f>K14+K19</f>
        <v/>
      </c>
      <c r="L21" s="327">
        <f>L14+L19</f>
        <v/>
      </c>
      <c r="M21" s="327">
        <f>M14+M19</f>
        <v/>
      </c>
      <c r="N21" s="327">
        <f>N14+N19</f>
        <v/>
      </c>
      <c r="O21" s="327">
        <f>O14+O19</f>
        <v/>
      </c>
      <c r="P21" s="327">
        <f>P14+P19</f>
        <v/>
      </c>
      <c r="Q21" s="327">
        <f>Q14+Q19</f>
        <v/>
      </c>
      <c r="R21" s="327">
        <f>R14+R19</f>
        <v/>
      </c>
      <c r="S21" s="327">
        <f>S14+S19</f>
        <v/>
      </c>
      <c r="T21" s="327">
        <f>T14+T19</f>
        <v/>
      </c>
      <c r="U21" s="327">
        <f>U14+U19</f>
        <v/>
      </c>
      <c r="V21" s="327">
        <f>V14+V19</f>
        <v/>
      </c>
      <c r="W21" s="327">
        <f>W14+W19</f>
        <v/>
      </c>
      <c r="X21" s="327">
        <f>X14+X19</f>
        <v/>
      </c>
      <c r="Y21" s="327">
        <f>Y14+Y19</f>
        <v/>
      </c>
      <c r="Z21" s="327">
        <f>Z14+Z19</f>
        <v/>
      </c>
      <c r="AA21" s="327">
        <f>AA14+AA19</f>
        <v/>
      </c>
      <c r="AB21" s="327">
        <f>AB14+AB19</f>
        <v/>
      </c>
      <c r="AC21" s="327">
        <f>AC14+AC19</f>
        <v/>
      </c>
      <c r="AD21" s="327">
        <f>AD14+AD19</f>
        <v/>
      </c>
      <c r="AE21" s="327">
        <f>AE14+AE19</f>
        <v/>
      </c>
      <c r="AF21" s="327">
        <f>AF14+AF19</f>
        <v/>
      </c>
      <c r="AG21" s="327">
        <f>AG14+AG19</f>
        <v/>
      </c>
      <c r="AH21" s="327">
        <f>AH14+AH19</f>
        <v/>
      </c>
      <c r="AI21" s="327">
        <f>AI14+AI19</f>
        <v/>
      </c>
      <c r="AJ21" s="327">
        <f>AJ14+AJ19</f>
        <v/>
      </c>
      <c r="AK21" s="327">
        <f>AK14+AK19</f>
        <v/>
      </c>
      <c r="AL21" s="327">
        <f>AL14+AL19</f>
        <v/>
      </c>
      <c r="AM21" s="327">
        <f>AM14+AM19</f>
        <v/>
      </c>
      <c r="AN21" s="324">
        <f>SUM(D21:O21)</f>
        <v/>
      </c>
      <c r="AO21" s="324">
        <f>SUM(P21:AA21)</f>
        <v/>
      </c>
      <c r="AP21" s="324">
        <f>SUM(AB21:AM21)</f>
        <v/>
      </c>
      <c r="AQ21" s="327">
        <f>AQ14+AQ19</f>
        <v/>
      </c>
      <c r="AR21" s="327">
        <f>AR14+AR19</f>
        <v/>
      </c>
      <c r="AS21" s="327">
        <f>AS14+AS19</f>
        <v/>
      </c>
      <c r="AT21" s="327">
        <f>AT14+AT19</f>
        <v/>
      </c>
      <c r="AU21" s="327">
        <f>AU14+AU19</f>
        <v/>
      </c>
      <c r="AV21" s="327">
        <f>AV14+AV19</f>
        <v/>
      </c>
      <c r="AW21" s="327">
        <f>AW14+AW19</f>
        <v/>
      </c>
      <c r="AX21" s="327">
        <f>AX14+AX19</f>
        <v/>
      </c>
      <c r="AY21" s="324">
        <f>SUM(AQ21:AT21)</f>
        <v/>
      </c>
      <c r="AZ21" s="324">
        <f>SUM(AU21:AX21)</f>
        <v/>
      </c>
    </row>
    <row r="22" ht="15" customHeight="1">
      <c r="B22" s="406" t="inlineStr">
        <is>
          <t>Bruttomarge (%)</t>
        </is>
      </c>
      <c r="D22" s="409">
        <f>IF(D11=0,"",D21/D11)</f>
        <v/>
      </c>
      <c r="E22" s="409">
        <f>IF(E11=0,"",E21/E11)</f>
        <v/>
      </c>
      <c r="F22" s="409">
        <f>IF(F11=0,"",F21/F11)</f>
        <v/>
      </c>
      <c r="G22" s="409">
        <f>IF(G11=0,"",G21/G11)</f>
        <v/>
      </c>
      <c r="H22" s="409">
        <f>IF(H11=0,"",H21/H11)</f>
        <v/>
      </c>
      <c r="I22" s="409">
        <f>IF(I11=0,"",I21/I11)</f>
        <v/>
      </c>
      <c r="J22" s="409">
        <f>IF(J11=0,"",J21/J11)</f>
        <v/>
      </c>
      <c r="K22" s="409">
        <f>IF(K11=0,"",K21/K11)</f>
        <v/>
      </c>
      <c r="L22" s="409">
        <f>IF(L11=0,"",L21/L11)</f>
        <v/>
      </c>
      <c r="M22" s="409">
        <f>IF(M11=0,"",M21/M11)</f>
        <v/>
      </c>
      <c r="N22" s="409">
        <f>IF(N11=0,"",N21/N11)</f>
        <v/>
      </c>
      <c r="O22" s="409">
        <f>IF(O11=0,"",O21/O11)</f>
        <v/>
      </c>
      <c r="P22" s="409">
        <f>IF(P11=0,"",P21/P11)</f>
        <v/>
      </c>
      <c r="Q22" s="409">
        <f>IF(Q11=0,"",Q21/Q11)</f>
        <v/>
      </c>
      <c r="R22" s="409">
        <f>IF(R11=0,"",R21/R11)</f>
        <v/>
      </c>
      <c r="S22" s="409">
        <f>IF(S11=0,"",S21/S11)</f>
        <v/>
      </c>
      <c r="T22" s="409">
        <f>IF(T11=0,"",T21/T11)</f>
        <v/>
      </c>
      <c r="U22" s="409">
        <f>IF(U11=0,"",U21/U11)</f>
        <v/>
      </c>
      <c r="V22" s="409">
        <f>IF(V11=0,"",V21/V11)</f>
        <v/>
      </c>
      <c r="W22" s="409">
        <f>IF(W11=0,"",W21/W11)</f>
        <v/>
      </c>
      <c r="X22" s="409">
        <f>IF(X11=0,"",X21/X11)</f>
        <v/>
      </c>
      <c r="Y22" s="409">
        <f>IF(Y11=0,"",Y21/Y11)</f>
        <v/>
      </c>
      <c r="Z22" s="409">
        <f>IF(Z11=0,"",Z21/Z11)</f>
        <v/>
      </c>
      <c r="AA22" s="409">
        <f>IF(AA11=0,"",AA21/AA11)</f>
        <v/>
      </c>
      <c r="AB22" s="409">
        <f>IF(AB11=0,"",AB21/AB11)</f>
        <v/>
      </c>
      <c r="AC22" s="409">
        <f>IF(AC11=0,"",AC21/AC11)</f>
        <v/>
      </c>
      <c r="AD22" s="409">
        <f>IF(AD11=0,"",AD21/AD11)</f>
        <v/>
      </c>
      <c r="AE22" s="409">
        <f>IF(AE11=0,"",AE21/AE11)</f>
        <v/>
      </c>
      <c r="AF22" s="409">
        <f>IF(AF11=0,"",AF21/AF11)</f>
        <v/>
      </c>
      <c r="AG22" s="409">
        <f>IF(AG11=0,"",AG21/AG11)</f>
        <v/>
      </c>
      <c r="AH22" s="409">
        <f>IF(AH11=0,"",AH21/AH11)</f>
        <v/>
      </c>
      <c r="AI22" s="409">
        <f>IF(AI11=0,"",AI21/AI11)</f>
        <v/>
      </c>
      <c r="AJ22" s="409">
        <f>IF(AJ11=0,"",AJ21/AJ11)</f>
        <v/>
      </c>
      <c r="AK22" s="409">
        <f>IF(AK11=0,"",AK21/AK11)</f>
        <v/>
      </c>
      <c r="AL22" s="409">
        <f>IF(AL11=0,"",AL21/AL11)</f>
        <v/>
      </c>
      <c r="AM22" s="409">
        <f>IF(AM11=0,"",AM21/AM11)</f>
        <v/>
      </c>
      <c r="AN22" s="328">
        <f>IF(AN11=0,"",AN21/AN11)</f>
        <v/>
      </c>
      <c r="AO22" s="328">
        <f>IF(AO11=0,"",AO21/AO11)</f>
        <v/>
      </c>
      <c r="AP22" s="328">
        <f>IF(AP11=0,"",AP21/AP11)</f>
        <v/>
      </c>
      <c r="AQ22" s="409">
        <f>IF(AQ11=0,"",AQ21/AQ11)</f>
        <v/>
      </c>
      <c r="AR22" s="409">
        <f>IF(AR11=0,"",AR21/AR11)</f>
        <v/>
      </c>
      <c r="AS22" s="409">
        <f>IF(AS11=0,"",AS21/AS11)</f>
        <v/>
      </c>
      <c r="AT22" s="409">
        <f>IF(AT11=0,"",AT21/AT11)</f>
        <v/>
      </c>
      <c r="AU22" s="409">
        <f>IF(AU11=0,"",AU21/AU11)</f>
        <v/>
      </c>
      <c r="AV22" s="409">
        <f>IF(AV11=0,"",AV21/AV11)</f>
        <v/>
      </c>
      <c r="AW22" s="409">
        <f>IF(AW11=0,"",AW21/AW11)</f>
        <v/>
      </c>
      <c r="AX22" s="409">
        <f>IF(AX11=0,"",AX21/AX11)</f>
        <v/>
      </c>
      <c r="AY22" s="328">
        <f>IF(AY11=0,"",AY21/AY11)</f>
        <v/>
      </c>
      <c r="AZ22" s="328">
        <f>IF(AZ11=0,"",AZ21/AZ11)</f>
        <v/>
      </c>
    </row>
    <row r="24" ht="15" customHeight="1">
      <c r="B24" s="406" t="inlineStr">
        <is>
          <t>C. BETRIEBSAUFWAND (OPEX)</t>
        </is>
      </c>
    </row>
    <row r="25" ht="15" customHeight="1">
      <c r="B25" s="314" t="inlineStr">
        <is>
          <t>Personalkosten</t>
        </is>
      </c>
      <c r="D25" s="323">
        <f>-Modellsteuerung!D19</f>
        <v/>
      </c>
      <c r="E25" s="323">
        <f>-Modellsteuerung!E19</f>
        <v/>
      </c>
      <c r="F25" s="323">
        <f>-Modellsteuerung!F19</f>
        <v/>
      </c>
      <c r="G25" s="323">
        <f>-Modellsteuerung!G19</f>
        <v/>
      </c>
      <c r="H25" s="323">
        <f>-Modellsteuerung!H19</f>
        <v/>
      </c>
      <c r="I25" s="323">
        <f>-Modellsteuerung!I19</f>
        <v/>
      </c>
      <c r="J25" s="323">
        <f>-Modellsteuerung!J19</f>
        <v/>
      </c>
      <c r="K25" s="323">
        <f>-Modellsteuerung!K19</f>
        <v/>
      </c>
      <c r="L25" s="323">
        <f>-Modellsteuerung!L19</f>
        <v/>
      </c>
      <c r="M25" s="323">
        <f>-Modellsteuerung!M19</f>
        <v/>
      </c>
      <c r="N25" s="323">
        <f>-Modellsteuerung!N19</f>
        <v/>
      </c>
      <c r="O25" s="323">
        <f>-Modellsteuerung!O19</f>
        <v/>
      </c>
      <c r="P25" s="323">
        <f>-Modellsteuerung!P19</f>
        <v/>
      </c>
      <c r="Q25" s="323">
        <f>-Modellsteuerung!Q19</f>
        <v/>
      </c>
      <c r="R25" s="323">
        <f>-Modellsteuerung!R19</f>
        <v/>
      </c>
      <c r="S25" s="323">
        <f>-Modellsteuerung!S19</f>
        <v/>
      </c>
      <c r="T25" s="323">
        <f>-Modellsteuerung!T19</f>
        <v/>
      </c>
      <c r="U25" s="323">
        <f>-Modellsteuerung!U19</f>
        <v/>
      </c>
      <c r="V25" s="323">
        <f>-Modellsteuerung!V19</f>
        <v/>
      </c>
      <c r="W25" s="323">
        <f>-Modellsteuerung!W19</f>
        <v/>
      </c>
      <c r="X25" s="323">
        <f>-Modellsteuerung!X19</f>
        <v/>
      </c>
      <c r="Y25" s="323">
        <f>-Modellsteuerung!Y19</f>
        <v/>
      </c>
      <c r="Z25" s="323">
        <f>-Modellsteuerung!Z19</f>
        <v/>
      </c>
      <c r="AA25" s="323">
        <f>-Modellsteuerung!AA19</f>
        <v/>
      </c>
      <c r="AB25" s="323">
        <f>-Modellsteuerung!AB19</f>
        <v/>
      </c>
      <c r="AC25" s="323">
        <f>-Modellsteuerung!AC19</f>
        <v/>
      </c>
      <c r="AD25" s="323">
        <f>-Modellsteuerung!AD19</f>
        <v/>
      </c>
      <c r="AE25" s="323">
        <f>-Modellsteuerung!AE19</f>
        <v/>
      </c>
      <c r="AF25" s="323">
        <f>-Modellsteuerung!AF19</f>
        <v/>
      </c>
      <c r="AG25" s="323">
        <f>-Modellsteuerung!AG19</f>
        <v/>
      </c>
      <c r="AH25" s="323">
        <f>-Modellsteuerung!AH19</f>
        <v/>
      </c>
      <c r="AI25" s="323">
        <f>-Modellsteuerung!AI19</f>
        <v/>
      </c>
      <c r="AJ25" s="323">
        <f>-Modellsteuerung!AJ19</f>
        <v/>
      </c>
      <c r="AK25" s="323">
        <f>-Modellsteuerung!AK19</f>
        <v/>
      </c>
      <c r="AL25" s="323">
        <f>-Modellsteuerung!AL19</f>
        <v/>
      </c>
      <c r="AM25" s="323">
        <f>-Modellsteuerung!AM19</f>
        <v/>
      </c>
      <c r="AN25" s="324">
        <f>SUM(D25:O25)</f>
        <v/>
      </c>
      <c r="AO25" s="324">
        <f>SUM(P25:AA25)</f>
        <v/>
      </c>
      <c r="AP25" s="324">
        <f>SUM(AB25:AM25)</f>
        <v/>
      </c>
      <c r="AQ25" s="323">
        <f>-Modellsteuerung!AQ19</f>
        <v/>
      </c>
      <c r="AR25" s="323">
        <f>-Modellsteuerung!AR19</f>
        <v/>
      </c>
      <c r="AS25" s="323">
        <f>-Modellsteuerung!AS19</f>
        <v/>
      </c>
      <c r="AT25" s="323">
        <f>-Modellsteuerung!AT19</f>
        <v/>
      </c>
      <c r="AU25" s="323">
        <f>-Modellsteuerung!AU19</f>
        <v/>
      </c>
      <c r="AV25" s="323">
        <f>-Modellsteuerung!AV19</f>
        <v/>
      </c>
      <c r="AW25" s="323">
        <f>-Modellsteuerung!AW19</f>
        <v/>
      </c>
      <c r="AX25" s="323">
        <f>-Modellsteuerung!AX19</f>
        <v/>
      </c>
      <c r="AY25" s="324">
        <f>SUM(AQ25:AT25)</f>
        <v/>
      </c>
      <c r="AZ25" s="324">
        <f>SUM(AU25:AX25)</f>
        <v/>
      </c>
    </row>
    <row r="26" ht="15" customHeight="1">
      <c r="B26" s="406" t="inlineStr">
        <is>
          <t>Fixe Betriebskosten</t>
        </is>
      </c>
      <c r="D26" s="410">
        <f>-Modellsteuerung!D20</f>
        <v/>
      </c>
      <c r="E26" s="410">
        <f>-Modellsteuerung!E20</f>
        <v/>
      </c>
      <c r="F26" s="410">
        <f>-Modellsteuerung!F20</f>
        <v/>
      </c>
      <c r="G26" s="410">
        <f>-Modellsteuerung!G20</f>
        <v/>
      </c>
      <c r="H26" s="410">
        <f>-Modellsteuerung!H20</f>
        <v/>
      </c>
      <c r="I26" s="410">
        <f>-Modellsteuerung!I20</f>
        <v/>
      </c>
      <c r="J26" s="410">
        <f>-Modellsteuerung!J20</f>
        <v/>
      </c>
      <c r="K26" s="410">
        <f>-Modellsteuerung!K20</f>
        <v/>
      </c>
      <c r="L26" s="410">
        <f>-Modellsteuerung!L20</f>
        <v/>
      </c>
      <c r="M26" s="410">
        <f>-Modellsteuerung!M20</f>
        <v/>
      </c>
      <c r="N26" s="410">
        <f>-Modellsteuerung!N20</f>
        <v/>
      </c>
      <c r="O26" s="410">
        <f>-Modellsteuerung!O20</f>
        <v/>
      </c>
      <c r="P26" s="410">
        <f>-Modellsteuerung!P20</f>
        <v/>
      </c>
      <c r="Q26" s="410">
        <f>-Modellsteuerung!Q20</f>
        <v/>
      </c>
      <c r="R26" s="410">
        <f>-Modellsteuerung!R20</f>
        <v/>
      </c>
      <c r="S26" s="410">
        <f>-Modellsteuerung!S20</f>
        <v/>
      </c>
      <c r="T26" s="410">
        <f>-Modellsteuerung!T20</f>
        <v/>
      </c>
      <c r="U26" s="410">
        <f>-Modellsteuerung!U20</f>
        <v/>
      </c>
      <c r="V26" s="410">
        <f>-Modellsteuerung!V20</f>
        <v/>
      </c>
      <c r="W26" s="410">
        <f>-Modellsteuerung!W20</f>
        <v/>
      </c>
      <c r="X26" s="410">
        <f>-Modellsteuerung!X20</f>
        <v/>
      </c>
      <c r="Y26" s="410">
        <f>-Modellsteuerung!Y20</f>
        <v/>
      </c>
      <c r="Z26" s="410">
        <f>-Modellsteuerung!Z20</f>
        <v/>
      </c>
      <c r="AA26" s="410">
        <f>-Modellsteuerung!AA20</f>
        <v/>
      </c>
      <c r="AB26" s="410">
        <f>-Modellsteuerung!AB20</f>
        <v/>
      </c>
      <c r="AC26" s="410">
        <f>-Modellsteuerung!AC20</f>
        <v/>
      </c>
      <c r="AD26" s="410">
        <f>-Modellsteuerung!AD20</f>
        <v/>
      </c>
      <c r="AE26" s="410">
        <f>-Modellsteuerung!AE20</f>
        <v/>
      </c>
      <c r="AF26" s="410">
        <f>-Modellsteuerung!AF20</f>
        <v/>
      </c>
      <c r="AG26" s="410">
        <f>-Modellsteuerung!AG20</f>
        <v/>
      </c>
      <c r="AH26" s="410">
        <f>-Modellsteuerung!AH20</f>
        <v/>
      </c>
      <c r="AI26" s="410">
        <f>-Modellsteuerung!AI20</f>
        <v/>
      </c>
      <c r="AJ26" s="410">
        <f>-Modellsteuerung!AJ20</f>
        <v/>
      </c>
      <c r="AK26" s="410">
        <f>-Modellsteuerung!AK20</f>
        <v/>
      </c>
      <c r="AL26" s="410">
        <f>-Modellsteuerung!AL20</f>
        <v/>
      </c>
      <c r="AM26" s="410">
        <f>-Modellsteuerung!AM20</f>
        <v/>
      </c>
      <c r="AN26" s="324">
        <f>SUM(D26:O26)</f>
        <v/>
      </c>
      <c r="AO26" s="324">
        <f>SUM(P26:AA26)</f>
        <v/>
      </c>
      <c r="AP26" s="324">
        <f>SUM(AB26:AM26)</f>
        <v/>
      </c>
      <c r="AQ26" s="410">
        <f>-Modellsteuerung!AQ20</f>
        <v/>
      </c>
      <c r="AR26" s="410">
        <f>-Modellsteuerung!AR20</f>
        <v/>
      </c>
      <c r="AS26" s="410">
        <f>-Modellsteuerung!AS20</f>
        <v/>
      </c>
      <c r="AT26" s="410">
        <f>-Modellsteuerung!AT20</f>
        <v/>
      </c>
      <c r="AU26" s="410">
        <f>-Modellsteuerung!AU20</f>
        <v/>
      </c>
      <c r="AV26" s="410">
        <f>-Modellsteuerung!AV20</f>
        <v/>
      </c>
      <c r="AW26" s="410">
        <f>-Modellsteuerung!AW20</f>
        <v/>
      </c>
      <c r="AX26" s="410">
        <f>-Modellsteuerung!AX20</f>
        <v/>
      </c>
      <c r="AY26" s="324">
        <f>SUM(AQ26:AT26)</f>
        <v/>
      </c>
      <c r="AZ26" s="324">
        <f>SUM(AU26:AX26)</f>
        <v/>
      </c>
    </row>
    <row r="27" ht="15" customHeight="1">
      <c r="B27" s="314" t="inlineStr">
        <is>
          <t>Marketing &amp; Vertrieb</t>
        </is>
      </c>
      <c r="D27" s="323">
        <f>-(Modellsteuerung!D29+(D8+D9)*Modellsteuerung!D27+D10*Modellsteuerung!D28+Modellsteuerung!D30)</f>
        <v/>
      </c>
      <c r="E27" s="323">
        <f>-(Modellsteuerung!E29+(E8+E9)*Modellsteuerung!E27+E10*Modellsteuerung!E28+Modellsteuerung!E30)</f>
        <v/>
      </c>
      <c r="F27" s="323">
        <f>-(Modellsteuerung!F29+(F8+F9)*Modellsteuerung!F27+F10*Modellsteuerung!F28+Modellsteuerung!F30)</f>
        <v/>
      </c>
      <c r="G27" s="323">
        <f>-(Modellsteuerung!G29+(G8+G9)*Modellsteuerung!G27+G10*Modellsteuerung!G28+Modellsteuerung!G30)</f>
        <v/>
      </c>
      <c r="H27" s="323">
        <f>-(Modellsteuerung!H29+(H8+H9)*Modellsteuerung!H27+H10*Modellsteuerung!H28+Modellsteuerung!H30)</f>
        <v/>
      </c>
      <c r="I27" s="323">
        <f>-(Modellsteuerung!I29+(I8+I9)*Modellsteuerung!I27+I10*Modellsteuerung!I28+Modellsteuerung!I30)</f>
        <v/>
      </c>
      <c r="J27" s="323">
        <f>-(Modellsteuerung!J29+(J8+J9)*Modellsteuerung!J27+J10*Modellsteuerung!J28+Modellsteuerung!J30)</f>
        <v/>
      </c>
      <c r="K27" s="323">
        <f>-(Modellsteuerung!K29+(K8+K9)*Modellsteuerung!K27+K10*Modellsteuerung!K28+Modellsteuerung!K30)</f>
        <v/>
      </c>
      <c r="L27" s="323">
        <f>-(Modellsteuerung!L29+(L8+L9)*Modellsteuerung!L27+L10*Modellsteuerung!L28+Modellsteuerung!L30)</f>
        <v/>
      </c>
      <c r="M27" s="323">
        <f>-(Modellsteuerung!M29+(M8+M9)*Modellsteuerung!M27+M10*Modellsteuerung!M28+Modellsteuerung!M30)</f>
        <v/>
      </c>
      <c r="N27" s="323">
        <f>-(Modellsteuerung!N29+(N8+N9)*Modellsteuerung!N27+N10*Modellsteuerung!N28+Modellsteuerung!N30)</f>
        <v/>
      </c>
      <c r="O27" s="323">
        <f>-(Modellsteuerung!O29+(O8+O9)*Modellsteuerung!O27+O10*Modellsteuerung!O28+Modellsteuerung!O30)</f>
        <v/>
      </c>
      <c r="P27" s="323">
        <f>-(Modellsteuerung!P29+(P8+P9)*Modellsteuerung!P27+P10*Modellsteuerung!P28+Modellsteuerung!P30)</f>
        <v/>
      </c>
      <c r="Q27" s="323">
        <f>-(Modellsteuerung!Q29+(Q8+Q9)*Modellsteuerung!Q27+Q10*Modellsteuerung!Q28+Modellsteuerung!Q30)</f>
        <v/>
      </c>
      <c r="R27" s="323">
        <f>-(Modellsteuerung!R29+(R8+R9)*Modellsteuerung!R27+R10*Modellsteuerung!R28+Modellsteuerung!R30)</f>
        <v/>
      </c>
      <c r="S27" s="323">
        <f>-(Modellsteuerung!S29+(S8+S9)*Modellsteuerung!S27+S10*Modellsteuerung!S28+Modellsteuerung!S30)</f>
        <v/>
      </c>
      <c r="T27" s="323">
        <f>-(Modellsteuerung!T29+(T8+T9)*Modellsteuerung!T27+T10*Modellsteuerung!T28+Modellsteuerung!T30)</f>
        <v/>
      </c>
      <c r="U27" s="323">
        <f>-(Modellsteuerung!U29+(U8+U9)*Modellsteuerung!U27+U10*Modellsteuerung!U28+Modellsteuerung!U30)</f>
        <v/>
      </c>
      <c r="V27" s="323">
        <f>-(Modellsteuerung!V29+(V8+V9)*Modellsteuerung!V27+V10*Modellsteuerung!V28+Modellsteuerung!V30)</f>
        <v/>
      </c>
      <c r="W27" s="323">
        <f>-(Modellsteuerung!W29+(W8+W9)*Modellsteuerung!W27+W10*Modellsteuerung!W28+Modellsteuerung!W30)</f>
        <v/>
      </c>
      <c r="X27" s="323">
        <f>-(Modellsteuerung!X29+(X8+X9)*Modellsteuerung!X27+X10*Modellsteuerung!X28+Modellsteuerung!X30)</f>
        <v/>
      </c>
      <c r="Y27" s="323">
        <f>-(Modellsteuerung!Y29+(Y8+Y9)*Modellsteuerung!Y27+Y10*Modellsteuerung!Y28+Modellsteuerung!Y30)</f>
        <v/>
      </c>
      <c r="Z27" s="323">
        <f>-(Modellsteuerung!Z29+(Z8+Z9)*Modellsteuerung!Z27+Z10*Modellsteuerung!Z28+Modellsteuerung!Z30)</f>
        <v/>
      </c>
      <c r="AA27" s="323">
        <f>-(Modellsteuerung!AA29+(AA8+AA9)*Modellsteuerung!AA27+AA10*Modellsteuerung!AA28+Modellsteuerung!AA30)</f>
        <v/>
      </c>
      <c r="AB27" s="323">
        <f>-(Modellsteuerung!AB29+(AB8+AB9)*Modellsteuerung!AB27+AB10*Modellsteuerung!AB28+Modellsteuerung!AB30)</f>
        <v/>
      </c>
      <c r="AC27" s="323">
        <f>-(Modellsteuerung!AC29+(AC8+AC9)*Modellsteuerung!AC27+AC10*Modellsteuerung!AC28+Modellsteuerung!AC30)</f>
        <v/>
      </c>
      <c r="AD27" s="323">
        <f>-(Modellsteuerung!AD29+(AD8+AD9)*Modellsteuerung!AD27+AD10*Modellsteuerung!AD28+Modellsteuerung!AD30)</f>
        <v/>
      </c>
      <c r="AE27" s="323">
        <f>-(Modellsteuerung!AE29+(AE8+AE9)*Modellsteuerung!AE27+AE10*Modellsteuerung!AE28+Modellsteuerung!AE30)</f>
        <v/>
      </c>
      <c r="AF27" s="323">
        <f>-(Modellsteuerung!AF29+(AF8+AF9)*Modellsteuerung!AF27+AF10*Modellsteuerung!AF28+Modellsteuerung!AF30)</f>
        <v/>
      </c>
      <c r="AG27" s="323">
        <f>-(Modellsteuerung!AG29+(AG8+AG9)*Modellsteuerung!AG27+AG10*Modellsteuerung!AG28+Modellsteuerung!AG30)</f>
        <v/>
      </c>
      <c r="AH27" s="323">
        <f>-(Modellsteuerung!AH29+(AH8+AH9)*Modellsteuerung!AH27+AH10*Modellsteuerung!AH28+Modellsteuerung!AH30)</f>
        <v/>
      </c>
      <c r="AI27" s="323">
        <f>-(Modellsteuerung!AI29+(AI8+AI9)*Modellsteuerung!AI27+AI10*Modellsteuerung!AI28+Modellsteuerung!AI30)</f>
        <v/>
      </c>
      <c r="AJ27" s="323">
        <f>-(Modellsteuerung!AJ29+(AJ8+AJ9)*Modellsteuerung!AJ27+AJ10*Modellsteuerung!AJ28+Modellsteuerung!AJ30)</f>
        <v/>
      </c>
      <c r="AK27" s="323">
        <f>-(Modellsteuerung!AK29+(AK8+AK9)*Modellsteuerung!AK27+AK10*Modellsteuerung!AK28+Modellsteuerung!AK30)</f>
        <v/>
      </c>
      <c r="AL27" s="323">
        <f>-(Modellsteuerung!AL29+(AL8+AL9)*Modellsteuerung!AL27+AL10*Modellsteuerung!AL28+Modellsteuerung!AL30)</f>
        <v/>
      </c>
      <c r="AM27" s="323">
        <f>-(Modellsteuerung!AM29+(AM8+AM9)*Modellsteuerung!AM27+AM10*Modellsteuerung!AM28+Modellsteuerung!AM30)</f>
        <v/>
      </c>
      <c r="AN27" s="324">
        <f>SUM(D27:O27)</f>
        <v/>
      </c>
      <c r="AO27" s="324">
        <f>SUM(P27:AA27)</f>
        <v/>
      </c>
      <c r="AP27" s="324">
        <f>SUM(AB27:AM27)</f>
        <v/>
      </c>
      <c r="AQ27" s="323">
        <f>-(Modellsteuerung!AQ29+(AQ8+AQ9)*Modellsteuerung!AQ27+AQ10*Modellsteuerung!AQ28+Modellsteuerung!AQ30)</f>
        <v/>
      </c>
      <c r="AR27" s="323">
        <f>-(Modellsteuerung!AR29+(AR8+AR9)*Modellsteuerung!AR27+AR10*Modellsteuerung!AR28+Modellsteuerung!AR30)</f>
        <v/>
      </c>
      <c r="AS27" s="323">
        <f>-(Modellsteuerung!AS29+(AS8+AS9)*Modellsteuerung!AS27+AS10*Modellsteuerung!AS28+Modellsteuerung!AS30)</f>
        <v/>
      </c>
      <c r="AT27" s="323">
        <f>-(Modellsteuerung!AT29+(AT8+AT9)*Modellsteuerung!AT27+AT10*Modellsteuerung!AT28+Modellsteuerung!AT30)</f>
        <v/>
      </c>
      <c r="AU27" s="323">
        <f>-(Modellsteuerung!AU29+(AU8+AU9)*Modellsteuerung!AU27+AU10*Modellsteuerung!AU28+Modellsteuerung!AU30)</f>
        <v/>
      </c>
      <c r="AV27" s="323">
        <f>-(Modellsteuerung!AV29+(AV8+AV9)*Modellsteuerung!AV27+AV10*Modellsteuerung!AV28+Modellsteuerung!AV30)</f>
        <v/>
      </c>
      <c r="AW27" s="323">
        <f>-(Modellsteuerung!AW29+(AW8+AW9)*Modellsteuerung!AW27+AW10*Modellsteuerung!AW28+Modellsteuerung!AW30)</f>
        <v/>
      </c>
      <c r="AX27" s="323">
        <f>-(Modellsteuerung!AX29+(AX8+AX9)*Modellsteuerung!AX27+AX10*Modellsteuerung!AX28+Modellsteuerung!AX30)</f>
        <v/>
      </c>
      <c r="AY27" s="324">
        <f>SUM(AQ27:AT27)</f>
        <v/>
      </c>
      <c r="AZ27" s="324">
        <f>SUM(AU27:AX27)</f>
        <v/>
      </c>
    </row>
    <row r="28" ht="15" customHeight="1">
      <c r="B28" s="325" t="inlineStr">
        <is>
          <t>SUMME OPEX</t>
        </is>
      </c>
      <c r="C28" s="43" t="n"/>
      <c r="D28" s="324">
        <f>D25+D26+D27</f>
        <v/>
      </c>
      <c r="E28" s="324">
        <f>E25+E26+E27</f>
        <v/>
      </c>
      <c r="F28" s="324">
        <f>F25+F26+F27</f>
        <v/>
      </c>
      <c r="G28" s="324">
        <f>G25+G26+G27</f>
        <v/>
      </c>
      <c r="H28" s="324">
        <f>H25+H26+H27</f>
        <v/>
      </c>
      <c r="I28" s="324">
        <f>I25+I26+I27</f>
        <v/>
      </c>
      <c r="J28" s="324">
        <f>J25+J26+J27</f>
        <v/>
      </c>
      <c r="K28" s="324">
        <f>K25+K26+K27</f>
        <v/>
      </c>
      <c r="L28" s="324">
        <f>L25+L26+L27</f>
        <v/>
      </c>
      <c r="M28" s="324">
        <f>M25+M26+M27</f>
        <v/>
      </c>
      <c r="N28" s="324">
        <f>N25+N26+N27</f>
        <v/>
      </c>
      <c r="O28" s="324">
        <f>O25+O26+O27</f>
        <v/>
      </c>
      <c r="P28" s="324">
        <f>P25+P26+P27</f>
        <v/>
      </c>
      <c r="Q28" s="324">
        <f>Q25+Q26+Q27</f>
        <v/>
      </c>
      <c r="R28" s="324">
        <f>R25+R26+R27</f>
        <v/>
      </c>
      <c r="S28" s="324">
        <f>S25+S26+S27</f>
        <v/>
      </c>
      <c r="T28" s="324">
        <f>T25+T26+T27</f>
        <v/>
      </c>
      <c r="U28" s="324">
        <f>U25+U26+U27</f>
        <v/>
      </c>
      <c r="V28" s="324">
        <f>V25+V26+V27</f>
        <v/>
      </c>
      <c r="W28" s="324">
        <f>W25+W26+W27</f>
        <v/>
      </c>
      <c r="X28" s="324">
        <f>X25+X26+X27</f>
        <v/>
      </c>
      <c r="Y28" s="324">
        <f>Y25+Y26+Y27</f>
        <v/>
      </c>
      <c r="Z28" s="324">
        <f>Z25+Z26+Z27</f>
        <v/>
      </c>
      <c r="AA28" s="324">
        <f>AA25+AA26+AA27</f>
        <v/>
      </c>
      <c r="AB28" s="324">
        <f>AB25+AB26+AB27</f>
        <v/>
      </c>
      <c r="AC28" s="324">
        <f>AC25+AC26+AC27</f>
        <v/>
      </c>
      <c r="AD28" s="324">
        <f>AD25+AD26+AD27</f>
        <v/>
      </c>
      <c r="AE28" s="324">
        <f>AE25+AE26+AE27</f>
        <v/>
      </c>
      <c r="AF28" s="324">
        <f>AF25+AF26+AF27</f>
        <v/>
      </c>
      <c r="AG28" s="324">
        <f>AG25+AG26+AG27</f>
        <v/>
      </c>
      <c r="AH28" s="324">
        <f>AH25+AH26+AH27</f>
        <v/>
      </c>
      <c r="AI28" s="324">
        <f>AI25+AI26+AI27</f>
        <v/>
      </c>
      <c r="AJ28" s="324">
        <f>AJ25+AJ26+AJ27</f>
        <v/>
      </c>
      <c r="AK28" s="324">
        <f>AK25+AK26+AK27</f>
        <v/>
      </c>
      <c r="AL28" s="324">
        <f>AL25+AL26+AL27</f>
        <v/>
      </c>
      <c r="AM28" s="324">
        <f>AM25+AM26+AM27</f>
        <v/>
      </c>
      <c r="AN28" s="324">
        <f>SUM(D28:O28)</f>
        <v/>
      </c>
      <c r="AO28" s="324">
        <f>SUM(P28:AA28)</f>
        <v/>
      </c>
      <c r="AP28" s="324">
        <f>SUM(AB28:AM28)</f>
        <v/>
      </c>
      <c r="AQ28" s="324">
        <f>AQ25+AQ26+AQ27</f>
        <v/>
      </c>
      <c r="AR28" s="324">
        <f>AR25+AR26+AR27</f>
        <v/>
      </c>
      <c r="AS28" s="324">
        <f>AS25+AS26+AS27</f>
        <v/>
      </c>
      <c r="AT28" s="324">
        <f>AT25+AT26+AT27</f>
        <v/>
      </c>
      <c r="AU28" s="324">
        <f>AU25+AU26+AU27</f>
        <v/>
      </c>
      <c r="AV28" s="324">
        <f>AV25+AV26+AV27</f>
        <v/>
      </c>
      <c r="AW28" s="324">
        <f>AW25+AW26+AW27</f>
        <v/>
      </c>
      <c r="AX28" s="324">
        <f>AX25+AX26+AX27</f>
        <v/>
      </c>
      <c r="AY28" s="324">
        <f>SUM(AQ28:AT28)</f>
        <v/>
      </c>
      <c r="AZ28" s="324">
        <f>SUM(AU28:AX28)</f>
        <v/>
      </c>
    </row>
    <row r="30" ht="15" customHeight="1">
      <c r="B30" s="406" t="inlineStr">
        <is>
          <t>EBITDA</t>
        </is>
      </c>
      <c r="D30" s="410">
        <f>D14+D17+D28</f>
        <v/>
      </c>
      <c r="E30" s="410">
        <f>E14+E17+E28</f>
        <v/>
      </c>
      <c r="F30" s="410">
        <f>F14+F17+F28</f>
        <v/>
      </c>
      <c r="G30" s="410">
        <f>G14+G17+G28</f>
        <v/>
      </c>
      <c r="H30" s="410">
        <f>H14+H17+H28</f>
        <v/>
      </c>
      <c r="I30" s="410">
        <f>I14+I17+I28</f>
        <v/>
      </c>
      <c r="J30" s="410">
        <f>J14+J17+J28</f>
        <v/>
      </c>
      <c r="K30" s="410">
        <f>K14+K17+K28</f>
        <v/>
      </c>
      <c r="L30" s="410">
        <f>L14+L17+L28</f>
        <v/>
      </c>
      <c r="M30" s="410">
        <f>M14+M17+M28</f>
        <v/>
      </c>
      <c r="N30" s="410">
        <f>N14+N17+N28</f>
        <v/>
      </c>
      <c r="O30" s="410">
        <f>O14+O17+O28</f>
        <v/>
      </c>
      <c r="P30" s="410">
        <f>P14+P17+P28</f>
        <v/>
      </c>
      <c r="Q30" s="410">
        <f>Q14+Q17+Q28</f>
        <v/>
      </c>
      <c r="R30" s="410">
        <f>R14+R17+R28</f>
        <v/>
      </c>
      <c r="S30" s="410">
        <f>S14+S17+S28</f>
        <v/>
      </c>
      <c r="T30" s="410">
        <f>T14+T17+T28</f>
        <v/>
      </c>
      <c r="U30" s="410">
        <f>U14+U17+U28</f>
        <v/>
      </c>
      <c r="V30" s="410">
        <f>V14+V17+V28</f>
        <v/>
      </c>
      <c r="W30" s="410">
        <f>W14+W17+W28</f>
        <v/>
      </c>
      <c r="X30" s="410">
        <f>X14+X17+X28</f>
        <v/>
      </c>
      <c r="Y30" s="410">
        <f>Y14+Y17+Y28</f>
        <v/>
      </c>
      <c r="Z30" s="410">
        <f>Z14+Z17+Z28</f>
        <v/>
      </c>
      <c r="AA30" s="410">
        <f>AA14+AA17+AA28</f>
        <v/>
      </c>
      <c r="AB30" s="410">
        <f>AB14+AB17+AB28</f>
        <v/>
      </c>
      <c r="AC30" s="410">
        <f>AC14+AC17+AC28</f>
        <v/>
      </c>
      <c r="AD30" s="410">
        <f>AD14+AD17+AD28</f>
        <v/>
      </c>
      <c r="AE30" s="410">
        <f>AE14+AE17+AE28</f>
        <v/>
      </c>
      <c r="AF30" s="410">
        <f>AF14+AF17+AF28</f>
        <v/>
      </c>
      <c r="AG30" s="410">
        <f>AG14+AG17+AG28</f>
        <v/>
      </c>
      <c r="AH30" s="410">
        <f>AH14+AH17+AH28</f>
        <v/>
      </c>
      <c r="AI30" s="410">
        <f>AI14+AI17+AI28</f>
        <v/>
      </c>
      <c r="AJ30" s="410">
        <f>AJ14+AJ17+AJ28</f>
        <v/>
      </c>
      <c r="AK30" s="410">
        <f>AK14+AK17+AK28</f>
        <v/>
      </c>
      <c r="AL30" s="410">
        <f>AL14+AL17+AL28</f>
        <v/>
      </c>
      <c r="AM30" s="410">
        <f>AM14+AM17+AM28</f>
        <v/>
      </c>
      <c r="AN30" s="324">
        <f>SUM(D30:O30)</f>
        <v/>
      </c>
      <c r="AO30" s="324">
        <f>SUM(P30:AA30)</f>
        <v/>
      </c>
      <c r="AP30" s="324">
        <f>SUM(AB30:AM30)</f>
        <v/>
      </c>
      <c r="AQ30" s="410">
        <f>AQ14+AQ17+AQ28</f>
        <v/>
      </c>
      <c r="AR30" s="410">
        <f>AR14+AR17+AR28</f>
        <v/>
      </c>
      <c r="AS30" s="410">
        <f>AS14+AS17+AS28</f>
        <v/>
      </c>
      <c r="AT30" s="410">
        <f>AT14+AT17+AT28</f>
        <v/>
      </c>
      <c r="AU30" s="410">
        <f>AU14+AU17+AU28</f>
        <v/>
      </c>
      <c r="AV30" s="410">
        <f>AV14+AV17+AV28</f>
        <v/>
      </c>
      <c r="AW30" s="410">
        <f>AW14+AW17+AW28</f>
        <v/>
      </c>
      <c r="AX30" s="410">
        <f>AX14+AX17+AX28</f>
        <v/>
      </c>
      <c r="AY30" s="324">
        <f>SUM(AQ30:AT30)</f>
        <v/>
      </c>
      <c r="AZ30" s="324">
        <f>SUM(AU30:AX30)</f>
        <v/>
      </c>
    </row>
    <row r="31" ht="15" customHeight="1">
      <c r="B31" s="314" t="inlineStr">
        <is>
          <t>EBITDA-Marge (%)</t>
        </is>
      </c>
      <c r="D31" s="318">
        <f>IF(D11=0,"",D30/D11)</f>
        <v/>
      </c>
      <c r="E31" s="318">
        <f>IF(E11=0,"",E30/E11)</f>
        <v/>
      </c>
      <c r="F31" s="318">
        <f>IF(F11=0,"",F30/F11)</f>
        <v/>
      </c>
      <c r="G31" s="318">
        <f>IF(G11=0,"",G30/G11)</f>
        <v/>
      </c>
      <c r="H31" s="318">
        <f>IF(H11=0,"",H30/H11)</f>
        <v/>
      </c>
      <c r="I31" s="318">
        <f>IF(I11=0,"",I30/I11)</f>
        <v/>
      </c>
      <c r="J31" s="318">
        <f>IF(J11=0,"",J30/J11)</f>
        <v/>
      </c>
      <c r="K31" s="318">
        <f>IF(K11=0,"",K30/K11)</f>
        <v/>
      </c>
      <c r="L31" s="318">
        <f>IF(L11=0,"",L30/L11)</f>
        <v/>
      </c>
      <c r="M31" s="318">
        <f>IF(M11=0,"",M30/M11)</f>
        <v/>
      </c>
      <c r="N31" s="318">
        <f>IF(N11=0,"",N30/N11)</f>
        <v/>
      </c>
      <c r="O31" s="318">
        <f>IF(O11=0,"",O30/O11)</f>
        <v/>
      </c>
      <c r="P31" s="318">
        <f>IF(P11=0,"",P30/P11)</f>
        <v/>
      </c>
      <c r="Q31" s="318">
        <f>IF(Q11=0,"",Q30/Q11)</f>
        <v/>
      </c>
      <c r="R31" s="318">
        <f>IF(R11=0,"",R30/R11)</f>
        <v/>
      </c>
      <c r="S31" s="318">
        <f>IF(S11=0,"",S30/S11)</f>
        <v/>
      </c>
      <c r="T31" s="318">
        <f>IF(T11=0,"",T30/T11)</f>
        <v/>
      </c>
      <c r="U31" s="318">
        <f>IF(U11=0,"",U30/U11)</f>
        <v/>
      </c>
      <c r="V31" s="318">
        <f>IF(V11=0,"",V30/V11)</f>
        <v/>
      </c>
      <c r="W31" s="318">
        <f>IF(W11=0,"",W30/W11)</f>
        <v/>
      </c>
      <c r="X31" s="318">
        <f>IF(X11=0,"",X30/X11)</f>
        <v/>
      </c>
      <c r="Y31" s="318">
        <f>IF(Y11=0,"",Y30/Y11)</f>
        <v/>
      </c>
      <c r="Z31" s="318">
        <f>IF(Z11=0,"",Z30/Z11)</f>
        <v/>
      </c>
      <c r="AA31" s="318">
        <f>IF(AA11=0,"",AA30/AA11)</f>
        <v/>
      </c>
      <c r="AB31" s="318">
        <f>IF(AB11=0,"",AB30/AB11)</f>
        <v/>
      </c>
      <c r="AC31" s="318">
        <f>IF(AC11=0,"",AC30/AC11)</f>
        <v/>
      </c>
      <c r="AD31" s="318">
        <f>IF(AD11=0,"",AD30/AD11)</f>
        <v/>
      </c>
      <c r="AE31" s="318">
        <f>IF(AE11=0,"",AE30/AE11)</f>
        <v/>
      </c>
      <c r="AF31" s="318">
        <f>IF(AF11=0,"",AF30/AF11)</f>
        <v/>
      </c>
      <c r="AG31" s="318">
        <f>IF(AG11=0,"",AG30/AG11)</f>
        <v/>
      </c>
      <c r="AH31" s="318">
        <f>IF(AH11=0,"",AH30/AH11)</f>
        <v/>
      </c>
      <c r="AI31" s="318">
        <f>IF(AI11=0,"",AI30/AI11)</f>
        <v/>
      </c>
      <c r="AJ31" s="318">
        <f>IF(AJ11=0,"",AJ30/AJ11)</f>
        <v/>
      </c>
      <c r="AK31" s="318">
        <f>IF(AK11=0,"",AK30/AK11)</f>
        <v/>
      </c>
      <c r="AL31" s="318">
        <f>IF(AL11=0,"",AL30/AL11)</f>
        <v/>
      </c>
      <c r="AM31" s="318">
        <f>IF(AM11=0,"",AM30/AM11)</f>
        <v/>
      </c>
      <c r="AN31" s="328">
        <f>IF(AN11=0,"",AN30/AN11)</f>
        <v/>
      </c>
      <c r="AO31" s="328">
        <f>IF(AO11=0,"",AO30/AO11)</f>
        <v/>
      </c>
      <c r="AP31" s="328">
        <f>IF(AP11=0,"",AP30/AP11)</f>
        <v/>
      </c>
      <c r="AQ31" s="318">
        <f>IF(AQ11=0,"",AQ30/AQ11)</f>
        <v/>
      </c>
      <c r="AR31" s="318">
        <f>IF(AR11=0,"",AR30/AR11)</f>
        <v/>
      </c>
      <c r="AS31" s="318">
        <f>IF(AS11=0,"",AS30/AS11)</f>
        <v/>
      </c>
      <c r="AT31" s="318">
        <f>IF(AT11=0,"",AT30/AT11)</f>
        <v/>
      </c>
      <c r="AU31" s="318">
        <f>IF(AU11=0,"",AU30/AU11)</f>
        <v/>
      </c>
      <c r="AV31" s="318">
        <f>IF(AV11=0,"",AV30/AV11)</f>
        <v/>
      </c>
      <c r="AW31" s="318">
        <f>IF(AW11=0,"",AW30/AW11)</f>
        <v/>
      </c>
      <c r="AX31" s="318">
        <f>IF(AX11=0,"",AX30/AX11)</f>
        <v/>
      </c>
      <c r="AY31" s="328">
        <f>IF(AY11=0,"",AY30/AY11)</f>
        <v/>
      </c>
      <c r="AZ31" s="328">
        <f>IF(AZ11=0,"",AZ30/AZ11)</f>
        <v/>
      </c>
    </row>
    <row r="33" ht="15" customHeight="1">
      <c r="B33" s="314" t="inlineStr">
        <is>
          <t>EBIT (Operating Income)</t>
        </is>
      </c>
      <c r="D33" s="323">
        <f>D30+D18</f>
        <v/>
      </c>
      <c r="E33" s="323">
        <f>E30+E18</f>
        <v/>
      </c>
      <c r="F33" s="323">
        <f>F30+F18</f>
        <v/>
      </c>
      <c r="G33" s="323">
        <f>G30+G18</f>
        <v/>
      </c>
      <c r="H33" s="323">
        <f>H30+H18</f>
        <v/>
      </c>
      <c r="I33" s="323">
        <f>I30+I18</f>
        <v/>
      </c>
      <c r="J33" s="323">
        <f>J30+J18</f>
        <v/>
      </c>
      <c r="K33" s="323">
        <f>K30+K18</f>
        <v/>
      </c>
      <c r="L33" s="323">
        <f>L30+L18</f>
        <v/>
      </c>
      <c r="M33" s="323">
        <f>M30+M18</f>
        <v/>
      </c>
      <c r="N33" s="323">
        <f>N30+N18</f>
        <v/>
      </c>
      <c r="O33" s="323">
        <f>O30+O18</f>
        <v/>
      </c>
      <c r="P33" s="323">
        <f>P30+P18</f>
        <v/>
      </c>
      <c r="Q33" s="323">
        <f>Q30+Q18</f>
        <v/>
      </c>
      <c r="R33" s="323">
        <f>R30+R18</f>
        <v/>
      </c>
      <c r="S33" s="323">
        <f>S30+S18</f>
        <v/>
      </c>
      <c r="T33" s="323">
        <f>T30+T18</f>
        <v/>
      </c>
      <c r="U33" s="323">
        <f>U30+U18</f>
        <v/>
      </c>
      <c r="V33" s="323">
        <f>V30+V18</f>
        <v/>
      </c>
      <c r="W33" s="323">
        <f>W30+W18</f>
        <v/>
      </c>
      <c r="X33" s="323">
        <f>X30+X18</f>
        <v/>
      </c>
      <c r="Y33" s="323">
        <f>Y30+Y18</f>
        <v/>
      </c>
      <c r="Z33" s="323">
        <f>Z30+Z18</f>
        <v/>
      </c>
      <c r="AA33" s="323">
        <f>AA30+AA18</f>
        <v/>
      </c>
      <c r="AB33" s="323">
        <f>AB30+AB18</f>
        <v/>
      </c>
      <c r="AC33" s="323">
        <f>AC30+AC18</f>
        <v/>
      </c>
      <c r="AD33" s="323">
        <f>AD30+AD18</f>
        <v/>
      </c>
      <c r="AE33" s="323">
        <f>AE30+AE18</f>
        <v/>
      </c>
      <c r="AF33" s="323">
        <f>AF30+AF18</f>
        <v/>
      </c>
      <c r="AG33" s="323">
        <f>AG30+AG18</f>
        <v/>
      </c>
      <c r="AH33" s="323">
        <f>AH30+AH18</f>
        <v/>
      </c>
      <c r="AI33" s="323">
        <f>AI30+AI18</f>
        <v/>
      </c>
      <c r="AJ33" s="323">
        <f>AJ30+AJ18</f>
        <v/>
      </c>
      <c r="AK33" s="323">
        <f>AK30+AK18</f>
        <v/>
      </c>
      <c r="AL33" s="323">
        <f>AL30+AL18</f>
        <v/>
      </c>
      <c r="AM33" s="323">
        <f>AM30+AM18</f>
        <v/>
      </c>
      <c r="AN33" s="324">
        <f>SUM(D33:O33)</f>
        <v/>
      </c>
      <c r="AO33" s="324">
        <f>SUM(P33:AA33)</f>
        <v/>
      </c>
      <c r="AP33" s="324">
        <f>SUM(AB33:AM33)</f>
        <v/>
      </c>
      <c r="AQ33" s="323">
        <f>AQ30+AQ18</f>
        <v/>
      </c>
      <c r="AR33" s="323">
        <f>AR30+AR18</f>
        <v/>
      </c>
      <c r="AS33" s="323">
        <f>AS30+AS18</f>
        <v/>
      </c>
      <c r="AT33" s="323">
        <f>AT30+AT18</f>
        <v/>
      </c>
      <c r="AU33" s="323">
        <f>AU30+AU18</f>
        <v/>
      </c>
      <c r="AV33" s="323">
        <f>AV30+AV18</f>
        <v/>
      </c>
      <c r="AW33" s="323">
        <f>AW30+AW18</f>
        <v/>
      </c>
      <c r="AX33" s="323">
        <f>AX30+AX18</f>
        <v/>
      </c>
      <c r="AY33" s="324">
        <f>SUM(AQ33:AT33)</f>
        <v/>
      </c>
      <c r="AZ33" s="324">
        <f>SUM(AU33:AX33)</f>
        <v/>
      </c>
    </row>
    <row r="34" ht="15" customHeight="1">
      <c r="B34" s="406" t="inlineStr">
        <is>
          <t>EBIT-Marge (%)</t>
        </is>
      </c>
      <c r="D34" s="409">
        <f>IF(D11=0,"",D33/D11)</f>
        <v/>
      </c>
      <c r="E34" s="409">
        <f>IF(E11=0,"",E33/E11)</f>
        <v/>
      </c>
      <c r="F34" s="409">
        <f>IF(F11=0,"",F33/F11)</f>
        <v/>
      </c>
      <c r="G34" s="409">
        <f>IF(G11=0,"",G33/G11)</f>
        <v/>
      </c>
      <c r="H34" s="409">
        <f>IF(H11=0,"",H33/H11)</f>
        <v/>
      </c>
      <c r="I34" s="409">
        <f>IF(I11=0,"",I33/I11)</f>
        <v/>
      </c>
      <c r="J34" s="409">
        <f>IF(J11=0,"",J33/J11)</f>
        <v/>
      </c>
      <c r="K34" s="409">
        <f>IF(K11=0,"",K33/K11)</f>
        <v/>
      </c>
      <c r="L34" s="409">
        <f>IF(L11=0,"",L33/L11)</f>
        <v/>
      </c>
      <c r="M34" s="409">
        <f>IF(M11=0,"",M33/M11)</f>
        <v/>
      </c>
      <c r="N34" s="409">
        <f>IF(N11=0,"",N33/N11)</f>
        <v/>
      </c>
      <c r="O34" s="409">
        <f>IF(O11=0,"",O33/O11)</f>
        <v/>
      </c>
      <c r="P34" s="409">
        <f>IF(P11=0,"",P33/P11)</f>
        <v/>
      </c>
      <c r="Q34" s="409">
        <f>IF(Q11=0,"",Q33/Q11)</f>
        <v/>
      </c>
      <c r="R34" s="409">
        <f>IF(R11=0,"",R33/R11)</f>
        <v/>
      </c>
      <c r="S34" s="409">
        <f>IF(S11=0,"",S33/S11)</f>
        <v/>
      </c>
      <c r="T34" s="409">
        <f>IF(T11=0,"",T33/T11)</f>
        <v/>
      </c>
      <c r="U34" s="409">
        <f>IF(U11=0,"",U33/U11)</f>
        <v/>
      </c>
      <c r="V34" s="409">
        <f>IF(V11=0,"",V33/V11)</f>
        <v/>
      </c>
      <c r="W34" s="409">
        <f>IF(W11=0,"",W33/W11)</f>
        <v/>
      </c>
      <c r="X34" s="409">
        <f>IF(X11=0,"",X33/X11)</f>
        <v/>
      </c>
      <c r="Y34" s="409">
        <f>IF(Y11=0,"",Y33/Y11)</f>
        <v/>
      </c>
      <c r="Z34" s="409">
        <f>IF(Z11=0,"",Z33/Z11)</f>
        <v/>
      </c>
      <c r="AA34" s="409">
        <f>IF(AA11=0,"",AA33/AA11)</f>
        <v/>
      </c>
      <c r="AB34" s="409">
        <f>IF(AB11=0,"",AB33/AB11)</f>
        <v/>
      </c>
      <c r="AC34" s="409">
        <f>IF(AC11=0,"",AC33/AC11)</f>
        <v/>
      </c>
      <c r="AD34" s="409">
        <f>IF(AD11=0,"",AD33/AD11)</f>
        <v/>
      </c>
      <c r="AE34" s="409">
        <f>IF(AE11=0,"",AE33/AE11)</f>
        <v/>
      </c>
      <c r="AF34" s="409">
        <f>IF(AF11=0,"",AF33/AF11)</f>
        <v/>
      </c>
      <c r="AG34" s="409">
        <f>IF(AG11=0,"",AG33/AG11)</f>
        <v/>
      </c>
      <c r="AH34" s="409">
        <f>IF(AH11=0,"",AH33/AH11)</f>
        <v/>
      </c>
      <c r="AI34" s="409">
        <f>IF(AI11=0,"",AI33/AI11)</f>
        <v/>
      </c>
      <c r="AJ34" s="409">
        <f>IF(AJ11=0,"",AJ33/AJ11)</f>
        <v/>
      </c>
      <c r="AK34" s="409">
        <f>IF(AK11=0,"",AK33/AK11)</f>
        <v/>
      </c>
      <c r="AL34" s="409">
        <f>IF(AL11=0,"",AL33/AL11)</f>
        <v/>
      </c>
      <c r="AM34" s="409">
        <f>IF(AM11=0,"",AM33/AM11)</f>
        <v/>
      </c>
      <c r="AN34" s="328">
        <f>IF(AN11=0,"",AN33/AN11)</f>
        <v/>
      </c>
      <c r="AO34" s="328">
        <f>IF(AO11=0,"",AO33/AO11)</f>
        <v/>
      </c>
      <c r="AP34" s="328">
        <f>IF(AP11=0,"",AP33/AP11)</f>
        <v/>
      </c>
      <c r="AQ34" s="409">
        <f>IF(AQ11=0,"",AQ33/AQ11)</f>
        <v/>
      </c>
      <c r="AR34" s="409">
        <f>IF(AR11=0,"",AR33/AR11)</f>
        <v/>
      </c>
      <c r="AS34" s="409">
        <f>IF(AS11=0,"",AS33/AS11)</f>
        <v/>
      </c>
      <c r="AT34" s="409">
        <f>IF(AT11=0,"",AT33/AT11)</f>
        <v/>
      </c>
      <c r="AU34" s="409">
        <f>IF(AU11=0,"",AU33/AU11)</f>
        <v/>
      </c>
      <c r="AV34" s="409">
        <f>IF(AV11=0,"",AV33/AV11)</f>
        <v/>
      </c>
      <c r="AW34" s="409">
        <f>IF(AW11=0,"",AW33/AW11)</f>
        <v/>
      </c>
      <c r="AX34" s="409">
        <f>IF(AX11=0,"",AX33/AX11)</f>
        <v/>
      </c>
      <c r="AY34" s="328">
        <f>IF(AY11=0,"",AY33/AY11)</f>
        <v/>
      </c>
      <c r="AZ34" s="328">
        <f>IF(AZ11=0,"",AZ33/AZ11)</f>
        <v/>
      </c>
    </row>
    <row r="36" ht="15" customHeight="1">
      <c r="B36" s="406" t="inlineStr">
        <is>
          <t>D. FINANZERGEBNIS</t>
        </is>
      </c>
    </row>
    <row r="37" ht="15" customHeight="1">
      <c r="B37" s="314" t="inlineStr">
        <is>
          <t>Zinsen Bankdarlehen</t>
        </is>
      </c>
      <c r="D37" s="323">
        <f>-Modellsteuerung!D23</f>
        <v/>
      </c>
      <c r="E37" s="323">
        <f>-Modellsteuerung!E23</f>
        <v/>
      </c>
      <c r="F37" s="323">
        <f>-Modellsteuerung!F23</f>
        <v/>
      </c>
      <c r="G37" s="323">
        <f>-Modellsteuerung!G23</f>
        <v/>
      </c>
      <c r="H37" s="323">
        <f>-Modellsteuerung!H23</f>
        <v/>
      </c>
      <c r="I37" s="323">
        <f>-Modellsteuerung!I23</f>
        <v/>
      </c>
      <c r="J37" s="323">
        <f>-Modellsteuerung!J23</f>
        <v/>
      </c>
      <c r="K37" s="323">
        <f>-Modellsteuerung!K23</f>
        <v/>
      </c>
      <c r="L37" s="323">
        <f>-Modellsteuerung!L23</f>
        <v/>
      </c>
      <c r="M37" s="323">
        <f>-Modellsteuerung!M23</f>
        <v/>
      </c>
      <c r="N37" s="323">
        <f>-Modellsteuerung!N23</f>
        <v/>
      </c>
      <c r="O37" s="323">
        <f>-Modellsteuerung!O23</f>
        <v/>
      </c>
      <c r="P37" s="323">
        <f>-Modellsteuerung!P23</f>
        <v/>
      </c>
      <c r="Q37" s="323">
        <f>-Modellsteuerung!Q23</f>
        <v/>
      </c>
      <c r="R37" s="323">
        <f>-Modellsteuerung!R23</f>
        <v/>
      </c>
      <c r="S37" s="323">
        <f>-Modellsteuerung!S23</f>
        <v/>
      </c>
      <c r="T37" s="323">
        <f>-Modellsteuerung!T23</f>
        <v/>
      </c>
      <c r="U37" s="323">
        <f>-Modellsteuerung!U23</f>
        <v/>
      </c>
      <c r="V37" s="323">
        <f>-Modellsteuerung!V23</f>
        <v/>
      </c>
      <c r="W37" s="323">
        <f>-Modellsteuerung!W23</f>
        <v/>
      </c>
      <c r="X37" s="323">
        <f>-Modellsteuerung!X23</f>
        <v/>
      </c>
      <c r="Y37" s="323">
        <f>-Modellsteuerung!Y23</f>
        <v/>
      </c>
      <c r="Z37" s="323">
        <f>-Modellsteuerung!Z23</f>
        <v/>
      </c>
      <c r="AA37" s="323">
        <f>-Modellsteuerung!AA23</f>
        <v/>
      </c>
      <c r="AB37" s="323">
        <f>-Modellsteuerung!AB23</f>
        <v/>
      </c>
      <c r="AC37" s="323">
        <f>-Modellsteuerung!AC23</f>
        <v/>
      </c>
      <c r="AD37" s="323">
        <f>-Modellsteuerung!AD23</f>
        <v/>
      </c>
      <c r="AE37" s="323">
        <f>-Modellsteuerung!AE23</f>
        <v/>
      </c>
      <c r="AF37" s="323">
        <f>-Modellsteuerung!AF23</f>
        <v/>
      </c>
      <c r="AG37" s="323">
        <f>-Modellsteuerung!AG23</f>
        <v/>
      </c>
      <c r="AH37" s="323">
        <f>-Modellsteuerung!AH23</f>
        <v/>
      </c>
      <c r="AI37" s="323">
        <f>-Modellsteuerung!AI23</f>
        <v/>
      </c>
      <c r="AJ37" s="323">
        <f>-Modellsteuerung!AJ23</f>
        <v/>
      </c>
      <c r="AK37" s="323">
        <f>-Modellsteuerung!AK23</f>
        <v/>
      </c>
      <c r="AL37" s="323">
        <f>-Modellsteuerung!AL23</f>
        <v/>
      </c>
      <c r="AM37" s="323">
        <f>-Modellsteuerung!AM23</f>
        <v/>
      </c>
      <c r="AN37" s="324">
        <f>SUM(D37:O37)</f>
        <v/>
      </c>
      <c r="AO37" s="324">
        <f>SUM(P37:AA37)</f>
        <v/>
      </c>
      <c r="AP37" s="324">
        <f>SUM(AB37:AM37)</f>
        <v/>
      </c>
      <c r="AQ37" s="323">
        <f>-Modellsteuerung!AQ23</f>
        <v/>
      </c>
      <c r="AR37" s="323">
        <f>-Modellsteuerung!AR23</f>
        <v/>
      </c>
      <c r="AS37" s="323">
        <f>-Modellsteuerung!AS23</f>
        <v/>
      </c>
      <c r="AT37" s="323">
        <f>-Modellsteuerung!AT23</f>
        <v/>
      </c>
      <c r="AU37" s="323">
        <f>-Modellsteuerung!AU23</f>
        <v/>
      </c>
      <c r="AV37" s="323">
        <f>-Modellsteuerung!AV23</f>
        <v/>
      </c>
      <c r="AW37" s="323">
        <f>-Modellsteuerung!AW23</f>
        <v/>
      </c>
      <c r="AX37" s="323">
        <f>-Modellsteuerung!AX23</f>
        <v/>
      </c>
      <c r="AY37" s="324">
        <f>SUM(AQ37:AT37)</f>
        <v/>
      </c>
      <c r="AZ37" s="324">
        <f>SUM(AU37:AX37)</f>
        <v/>
      </c>
    </row>
    <row r="38" ht="15" customHeight="1">
      <c r="B38" s="406" t="inlineStr">
        <is>
          <t>Zinsen KfW/Impact</t>
        </is>
      </c>
      <c r="D38" s="410">
        <f>-Modellsteuerung!D26</f>
        <v/>
      </c>
      <c r="E38" s="410">
        <f>-Modellsteuerung!E26</f>
        <v/>
      </c>
      <c r="F38" s="410">
        <f>-Modellsteuerung!F26</f>
        <v/>
      </c>
      <c r="G38" s="410">
        <f>-Modellsteuerung!G26</f>
        <v/>
      </c>
      <c r="H38" s="410">
        <f>-Modellsteuerung!H26</f>
        <v/>
      </c>
      <c r="I38" s="410">
        <f>-Modellsteuerung!I26</f>
        <v/>
      </c>
      <c r="J38" s="410">
        <f>-Modellsteuerung!J26</f>
        <v/>
      </c>
      <c r="K38" s="410">
        <f>-Modellsteuerung!K26</f>
        <v/>
      </c>
      <c r="L38" s="410">
        <f>-Modellsteuerung!L26</f>
        <v/>
      </c>
      <c r="M38" s="410">
        <f>-Modellsteuerung!M26</f>
        <v/>
      </c>
      <c r="N38" s="410">
        <f>-Modellsteuerung!N26</f>
        <v/>
      </c>
      <c r="O38" s="410">
        <f>-Modellsteuerung!O26</f>
        <v/>
      </c>
      <c r="P38" s="410">
        <f>-Modellsteuerung!P26</f>
        <v/>
      </c>
      <c r="Q38" s="410">
        <f>-Modellsteuerung!Q26</f>
        <v/>
      </c>
      <c r="R38" s="410">
        <f>-Modellsteuerung!R26</f>
        <v/>
      </c>
      <c r="S38" s="410">
        <f>-Modellsteuerung!S26</f>
        <v/>
      </c>
      <c r="T38" s="410">
        <f>-Modellsteuerung!T26</f>
        <v/>
      </c>
      <c r="U38" s="410">
        <f>-Modellsteuerung!U26</f>
        <v/>
      </c>
      <c r="V38" s="410">
        <f>-Modellsteuerung!V26</f>
        <v/>
      </c>
      <c r="W38" s="410">
        <f>-Modellsteuerung!W26</f>
        <v/>
      </c>
      <c r="X38" s="410">
        <f>-Modellsteuerung!X26</f>
        <v/>
      </c>
      <c r="Y38" s="410">
        <f>-Modellsteuerung!Y26</f>
        <v/>
      </c>
      <c r="Z38" s="410">
        <f>-Modellsteuerung!Z26</f>
        <v/>
      </c>
      <c r="AA38" s="410">
        <f>-Modellsteuerung!AA26</f>
        <v/>
      </c>
      <c r="AB38" s="410">
        <f>-Modellsteuerung!AB26</f>
        <v/>
      </c>
      <c r="AC38" s="410">
        <f>-Modellsteuerung!AC26</f>
        <v/>
      </c>
      <c r="AD38" s="410">
        <f>-Modellsteuerung!AD26</f>
        <v/>
      </c>
      <c r="AE38" s="410">
        <f>-Modellsteuerung!AE26</f>
        <v/>
      </c>
      <c r="AF38" s="410">
        <f>-Modellsteuerung!AF26</f>
        <v/>
      </c>
      <c r="AG38" s="410">
        <f>-Modellsteuerung!AG26</f>
        <v/>
      </c>
      <c r="AH38" s="410">
        <f>-Modellsteuerung!AH26</f>
        <v/>
      </c>
      <c r="AI38" s="410">
        <f>-Modellsteuerung!AI26</f>
        <v/>
      </c>
      <c r="AJ38" s="410">
        <f>-Modellsteuerung!AJ26</f>
        <v/>
      </c>
      <c r="AK38" s="410">
        <f>-Modellsteuerung!AK26</f>
        <v/>
      </c>
      <c r="AL38" s="410">
        <f>-Modellsteuerung!AL26</f>
        <v/>
      </c>
      <c r="AM38" s="410">
        <f>-Modellsteuerung!AM26</f>
        <v/>
      </c>
      <c r="AN38" s="324">
        <f>SUM(D38:O38)</f>
        <v/>
      </c>
      <c r="AO38" s="324">
        <f>SUM(P38:AA38)</f>
        <v/>
      </c>
      <c r="AP38" s="324">
        <f>SUM(AB38:AM38)</f>
        <v/>
      </c>
      <c r="AQ38" s="410">
        <f>-Modellsteuerung!AQ26</f>
        <v/>
      </c>
      <c r="AR38" s="410">
        <f>-Modellsteuerung!AR26</f>
        <v/>
      </c>
      <c r="AS38" s="410">
        <f>-Modellsteuerung!AS26</f>
        <v/>
      </c>
      <c r="AT38" s="410">
        <f>-Modellsteuerung!AT26</f>
        <v/>
      </c>
      <c r="AU38" s="410">
        <f>-Modellsteuerung!AU26</f>
        <v/>
      </c>
      <c r="AV38" s="410">
        <f>-Modellsteuerung!AV26</f>
        <v/>
      </c>
      <c r="AW38" s="410">
        <f>-Modellsteuerung!AW26</f>
        <v/>
      </c>
      <c r="AX38" s="410">
        <f>-Modellsteuerung!AX26</f>
        <v/>
      </c>
      <c r="AY38" s="324">
        <f>SUM(AQ38:AT38)</f>
        <v/>
      </c>
      <c r="AZ38" s="324">
        <f>SUM(AU38:AX38)</f>
        <v/>
      </c>
    </row>
    <row r="39" ht="15" customHeight="1">
      <c r="B39" s="325" t="inlineStr">
        <is>
          <t>SUMME ZINSAUFWAND</t>
        </is>
      </c>
      <c r="C39" s="43" t="n"/>
      <c r="D39" s="324">
        <f>D37+D38</f>
        <v/>
      </c>
      <c r="E39" s="324">
        <f>E37+E38</f>
        <v/>
      </c>
      <c r="F39" s="324">
        <f>F37+F38</f>
        <v/>
      </c>
      <c r="G39" s="324">
        <f>G37+G38</f>
        <v/>
      </c>
      <c r="H39" s="324">
        <f>H37+H38</f>
        <v/>
      </c>
      <c r="I39" s="324">
        <f>I37+I38</f>
        <v/>
      </c>
      <c r="J39" s="324">
        <f>J37+J38</f>
        <v/>
      </c>
      <c r="K39" s="324">
        <f>K37+K38</f>
        <v/>
      </c>
      <c r="L39" s="324">
        <f>L37+L38</f>
        <v/>
      </c>
      <c r="M39" s="324">
        <f>M37+M38</f>
        <v/>
      </c>
      <c r="N39" s="324">
        <f>N37+N38</f>
        <v/>
      </c>
      <c r="O39" s="324">
        <f>O37+O38</f>
        <v/>
      </c>
      <c r="P39" s="324">
        <f>P37+P38</f>
        <v/>
      </c>
      <c r="Q39" s="324">
        <f>Q37+Q38</f>
        <v/>
      </c>
      <c r="R39" s="324">
        <f>R37+R38</f>
        <v/>
      </c>
      <c r="S39" s="324">
        <f>S37+S38</f>
        <v/>
      </c>
      <c r="T39" s="324">
        <f>T37+T38</f>
        <v/>
      </c>
      <c r="U39" s="324">
        <f>U37+U38</f>
        <v/>
      </c>
      <c r="V39" s="324">
        <f>V37+V38</f>
        <v/>
      </c>
      <c r="W39" s="324">
        <f>W37+W38</f>
        <v/>
      </c>
      <c r="X39" s="324">
        <f>X37+X38</f>
        <v/>
      </c>
      <c r="Y39" s="324">
        <f>Y37+Y38</f>
        <v/>
      </c>
      <c r="Z39" s="324">
        <f>Z37+Z38</f>
        <v/>
      </c>
      <c r="AA39" s="324">
        <f>AA37+AA38</f>
        <v/>
      </c>
      <c r="AB39" s="324">
        <f>AB37+AB38</f>
        <v/>
      </c>
      <c r="AC39" s="324">
        <f>AC37+AC38</f>
        <v/>
      </c>
      <c r="AD39" s="324">
        <f>AD37+AD38</f>
        <v/>
      </c>
      <c r="AE39" s="324">
        <f>AE37+AE38</f>
        <v/>
      </c>
      <c r="AF39" s="324">
        <f>AF37+AF38</f>
        <v/>
      </c>
      <c r="AG39" s="324">
        <f>AG37+AG38</f>
        <v/>
      </c>
      <c r="AH39" s="324">
        <f>AH37+AH38</f>
        <v/>
      </c>
      <c r="AI39" s="324">
        <f>AI37+AI38</f>
        <v/>
      </c>
      <c r="AJ39" s="324">
        <f>AJ37+AJ38</f>
        <v/>
      </c>
      <c r="AK39" s="324">
        <f>AK37+AK38</f>
        <v/>
      </c>
      <c r="AL39" s="324">
        <f>AL37+AL38</f>
        <v/>
      </c>
      <c r="AM39" s="324">
        <f>AM37+AM38</f>
        <v/>
      </c>
      <c r="AN39" s="324">
        <f>SUM(D39:O39)</f>
        <v/>
      </c>
      <c r="AO39" s="324">
        <f>SUM(P39:AA39)</f>
        <v/>
      </c>
      <c r="AP39" s="324">
        <f>SUM(AB39:AM39)</f>
        <v/>
      </c>
      <c r="AQ39" s="324">
        <f>AQ37+AQ38</f>
        <v/>
      </c>
      <c r="AR39" s="324">
        <f>AR37+AR38</f>
        <v/>
      </c>
      <c r="AS39" s="324">
        <f>AS37+AS38</f>
        <v/>
      </c>
      <c r="AT39" s="324">
        <f>AT37+AT38</f>
        <v/>
      </c>
      <c r="AU39" s="324">
        <f>AU37+AU38</f>
        <v/>
      </c>
      <c r="AV39" s="324">
        <f>AV37+AV38</f>
        <v/>
      </c>
      <c r="AW39" s="324">
        <f>AW37+AW38</f>
        <v/>
      </c>
      <c r="AX39" s="324">
        <f>AX37+AX38</f>
        <v/>
      </c>
      <c r="AY39" s="324">
        <f>SUM(AQ39:AT39)</f>
        <v/>
      </c>
      <c r="AZ39" s="324">
        <f>SUM(AU39:AX39)</f>
        <v/>
      </c>
    </row>
    <row r="41" ht="15" customHeight="1">
      <c r="B41" s="314" t="inlineStr">
        <is>
          <t>EBT (Ergebnis vor Steuern)</t>
        </is>
      </c>
      <c r="D41" s="323">
        <f>D33+D39</f>
        <v/>
      </c>
      <c r="E41" s="323">
        <f>E33+E39</f>
        <v/>
      </c>
      <c r="F41" s="323">
        <f>F33+F39</f>
        <v/>
      </c>
      <c r="G41" s="323">
        <f>G33+G39</f>
        <v/>
      </c>
      <c r="H41" s="323">
        <f>H33+H39</f>
        <v/>
      </c>
      <c r="I41" s="323">
        <f>I33+I39</f>
        <v/>
      </c>
      <c r="J41" s="323">
        <f>J33+J39</f>
        <v/>
      </c>
      <c r="K41" s="323">
        <f>K33+K39</f>
        <v/>
      </c>
      <c r="L41" s="323">
        <f>L33+L39</f>
        <v/>
      </c>
      <c r="M41" s="323">
        <f>M33+M39</f>
        <v/>
      </c>
      <c r="N41" s="323">
        <f>N33+N39</f>
        <v/>
      </c>
      <c r="O41" s="323">
        <f>O33+O39</f>
        <v/>
      </c>
      <c r="P41" s="323">
        <f>P33+P39</f>
        <v/>
      </c>
      <c r="Q41" s="323">
        <f>Q33+Q39</f>
        <v/>
      </c>
      <c r="R41" s="323">
        <f>R33+R39</f>
        <v/>
      </c>
      <c r="S41" s="323">
        <f>S33+S39</f>
        <v/>
      </c>
      <c r="T41" s="323">
        <f>T33+T39</f>
        <v/>
      </c>
      <c r="U41" s="323">
        <f>U33+U39</f>
        <v/>
      </c>
      <c r="V41" s="323">
        <f>V33+V39</f>
        <v/>
      </c>
      <c r="W41" s="323">
        <f>W33+W39</f>
        <v/>
      </c>
      <c r="X41" s="323">
        <f>X33+X39</f>
        <v/>
      </c>
      <c r="Y41" s="323">
        <f>Y33+Y39</f>
        <v/>
      </c>
      <c r="Z41" s="323">
        <f>Z33+Z39</f>
        <v/>
      </c>
      <c r="AA41" s="323">
        <f>AA33+AA39</f>
        <v/>
      </c>
      <c r="AB41" s="323">
        <f>AB33+AB39</f>
        <v/>
      </c>
      <c r="AC41" s="323">
        <f>AC33+AC39</f>
        <v/>
      </c>
      <c r="AD41" s="323">
        <f>AD33+AD39</f>
        <v/>
      </c>
      <c r="AE41" s="323">
        <f>AE33+AE39</f>
        <v/>
      </c>
      <c r="AF41" s="323">
        <f>AF33+AF39</f>
        <v/>
      </c>
      <c r="AG41" s="323">
        <f>AG33+AG39</f>
        <v/>
      </c>
      <c r="AH41" s="323">
        <f>AH33+AH39</f>
        <v/>
      </c>
      <c r="AI41" s="323">
        <f>AI33+AI39</f>
        <v/>
      </c>
      <c r="AJ41" s="323">
        <f>AJ33+AJ39</f>
        <v/>
      </c>
      <c r="AK41" s="323">
        <f>AK33+AK39</f>
        <v/>
      </c>
      <c r="AL41" s="323">
        <f>AL33+AL39</f>
        <v/>
      </c>
      <c r="AM41" s="323">
        <f>AM33+AM39</f>
        <v/>
      </c>
      <c r="AN41" s="324">
        <f>SUM(D41:O41)</f>
        <v/>
      </c>
      <c r="AO41" s="324">
        <f>SUM(P41:AA41)</f>
        <v/>
      </c>
      <c r="AP41" s="324">
        <f>SUM(AB41:AM41)</f>
        <v/>
      </c>
      <c r="AQ41" s="323">
        <f>AQ33+AQ39</f>
        <v/>
      </c>
      <c r="AR41" s="323">
        <f>AR33+AR39</f>
        <v/>
      </c>
      <c r="AS41" s="323">
        <f>AS33+AS39</f>
        <v/>
      </c>
      <c r="AT41" s="323">
        <f>AT33+AT39</f>
        <v/>
      </c>
      <c r="AU41" s="323">
        <f>AU33+AU39</f>
        <v/>
      </c>
      <c r="AV41" s="323">
        <f>AV33+AV39</f>
        <v/>
      </c>
      <c r="AW41" s="323">
        <f>AW33+AW39</f>
        <v/>
      </c>
      <c r="AX41" s="323">
        <f>AX33+AX39</f>
        <v/>
      </c>
      <c r="AY41" s="324">
        <f>SUM(AQ41:AT41)</f>
        <v/>
      </c>
      <c r="AZ41" s="324">
        <f>SUM(AU41:AX41)</f>
        <v/>
      </c>
    </row>
    <row r="43" ht="15" customHeight="1">
      <c r="B43" s="314" t="inlineStr">
        <is>
          <t>Körperschaftsteuer (15%)</t>
        </is>
      </c>
      <c r="D43" s="323">
        <f>IF(D41&gt;0,-D41*0.15,0)</f>
        <v/>
      </c>
      <c r="E43" s="323">
        <f>IF(E41&gt;0,-E41*0.15,0)</f>
        <v/>
      </c>
      <c r="F43" s="323">
        <f>IF(F41&gt;0,-F41*0.15,0)</f>
        <v/>
      </c>
      <c r="G43" s="323">
        <f>IF(G41&gt;0,-G41*0.15,0)</f>
        <v/>
      </c>
      <c r="H43" s="323">
        <f>IF(H41&gt;0,-H41*0.15,0)</f>
        <v/>
      </c>
      <c r="I43" s="323">
        <f>IF(I41&gt;0,-I41*0.15,0)</f>
        <v/>
      </c>
      <c r="J43" s="323">
        <f>IF(J41&gt;0,-J41*0.15,0)</f>
        <v/>
      </c>
      <c r="K43" s="323">
        <f>IF(K41&gt;0,-K41*0.15,0)</f>
        <v/>
      </c>
      <c r="L43" s="323">
        <f>IF(L41&gt;0,-L41*0.15,0)</f>
        <v/>
      </c>
      <c r="M43" s="323">
        <f>IF(M41&gt;0,-M41*0.15,0)</f>
        <v/>
      </c>
      <c r="N43" s="323">
        <f>IF(N41&gt;0,-N41*0.15,0)</f>
        <v/>
      </c>
      <c r="O43" s="323">
        <f>IF(O41&gt;0,-O41*0.15,0)</f>
        <v/>
      </c>
      <c r="P43" s="323">
        <f>IF(P41&gt;0,-P41*0.15,0)</f>
        <v/>
      </c>
      <c r="Q43" s="323">
        <f>IF(Q41&gt;0,-Q41*0.15,0)</f>
        <v/>
      </c>
      <c r="R43" s="323">
        <f>IF(R41&gt;0,-R41*0.15,0)</f>
        <v/>
      </c>
      <c r="S43" s="323">
        <f>IF(S41&gt;0,-S41*0.15,0)</f>
        <v/>
      </c>
      <c r="T43" s="323">
        <f>IF(T41&gt;0,-T41*0.15,0)</f>
        <v/>
      </c>
      <c r="U43" s="323">
        <f>IF(U41&gt;0,-U41*0.15,0)</f>
        <v/>
      </c>
      <c r="V43" s="323">
        <f>IF(V41&gt;0,-V41*0.15,0)</f>
        <v/>
      </c>
      <c r="W43" s="323">
        <f>IF(W41&gt;0,-W41*0.15,0)</f>
        <v/>
      </c>
      <c r="X43" s="323">
        <f>IF(X41&gt;0,-X41*0.15,0)</f>
        <v/>
      </c>
      <c r="Y43" s="323">
        <f>IF(Y41&gt;0,-Y41*0.15,0)</f>
        <v/>
      </c>
      <c r="Z43" s="323">
        <f>IF(Z41&gt;0,-Z41*0.15,0)</f>
        <v/>
      </c>
      <c r="AA43" s="323">
        <f>IF(AA41&gt;0,-AA41*0.15,0)</f>
        <v/>
      </c>
      <c r="AB43" s="323">
        <f>IF(AB41&gt;0,-AB41*0.15,0)</f>
        <v/>
      </c>
      <c r="AC43" s="323">
        <f>IF(AC41&gt;0,-AC41*0.15,0)</f>
        <v/>
      </c>
      <c r="AD43" s="323">
        <f>IF(AD41&gt;0,-AD41*0.15,0)</f>
        <v/>
      </c>
      <c r="AE43" s="323">
        <f>IF(AE41&gt;0,-AE41*0.15,0)</f>
        <v/>
      </c>
      <c r="AF43" s="323">
        <f>IF(AF41&gt;0,-AF41*0.15,0)</f>
        <v/>
      </c>
      <c r="AG43" s="323">
        <f>IF(AG41&gt;0,-AG41*0.15,0)</f>
        <v/>
      </c>
      <c r="AH43" s="323">
        <f>IF(AH41&gt;0,-AH41*0.15,0)</f>
        <v/>
      </c>
      <c r="AI43" s="323">
        <f>IF(AI41&gt;0,-AI41*0.15,0)</f>
        <v/>
      </c>
      <c r="AJ43" s="323">
        <f>IF(AJ41&gt;0,-AJ41*0.15,0)</f>
        <v/>
      </c>
      <c r="AK43" s="323">
        <f>IF(AK41&gt;0,-AK41*0.15,0)</f>
        <v/>
      </c>
      <c r="AL43" s="323">
        <f>IF(AL41&gt;0,-AL41*0.15,0)</f>
        <v/>
      </c>
      <c r="AM43" s="323">
        <f>IF(AM41&gt;0,-AM41*0.15,0)</f>
        <v/>
      </c>
      <c r="AN43" s="324">
        <f>SUM(D43:O43)</f>
        <v/>
      </c>
      <c r="AO43" s="324">
        <f>SUM(P43:AA43)</f>
        <v/>
      </c>
      <c r="AP43" s="324">
        <f>SUM(AB43:AM43)</f>
        <v/>
      </c>
      <c r="AQ43" s="323">
        <f>IF(AQ41&gt;0,-AQ41*0.15,0)</f>
        <v/>
      </c>
      <c r="AR43" s="323">
        <f>IF(AR41&gt;0,-AR41*0.15,0)</f>
        <v/>
      </c>
      <c r="AS43" s="323">
        <f>IF(AS41&gt;0,-AS41*0.15,0)</f>
        <v/>
      </c>
      <c r="AT43" s="323">
        <f>IF(AT41&gt;0,-AT41*0.15,0)</f>
        <v/>
      </c>
      <c r="AU43" s="323">
        <f>IF(AU41&gt;0,-AU41*0.15,0)</f>
        <v/>
      </c>
      <c r="AV43" s="323">
        <f>IF(AV41&gt;0,-AV41*0.15,0)</f>
        <v/>
      </c>
      <c r="AW43" s="323">
        <f>IF(AW41&gt;0,-AW41*0.15,0)</f>
        <v/>
      </c>
      <c r="AX43" s="323">
        <f>IF(AX41&gt;0,-AX41*0.15,0)</f>
        <v/>
      </c>
      <c r="AY43" s="324">
        <f>SUM(AQ43:AT43)</f>
        <v/>
      </c>
      <c r="AZ43" s="324">
        <f>SUM(AU43:AX43)</f>
        <v/>
      </c>
    </row>
    <row r="44" ht="15" customHeight="1">
      <c r="B44" s="406" t="inlineStr">
        <is>
          <t>Solidaritätszuschlag (5,5%)</t>
        </is>
      </c>
      <c r="D44" s="410">
        <f>D43*0.055</f>
        <v/>
      </c>
      <c r="E44" s="410">
        <f>E43*0.055</f>
        <v/>
      </c>
      <c r="F44" s="410">
        <f>F43*0.055</f>
        <v/>
      </c>
      <c r="G44" s="410">
        <f>G43*0.055</f>
        <v/>
      </c>
      <c r="H44" s="410">
        <f>H43*0.055</f>
        <v/>
      </c>
      <c r="I44" s="410">
        <f>I43*0.055</f>
        <v/>
      </c>
      <c r="J44" s="410">
        <f>J43*0.055</f>
        <v/>
      </c>
      <c r="K44" s="410">
        <f>K43*0.055</f>
        <v/>
      </c>
      <c r="L44" s="410">
        <f>L43*0.055</f>
        <v/>
      </c>
      <c r="M44" s="410">
        <f>M43*0.055</f>
        <v/>
      </c>
      <c r="N44" s="410">
        <f>N43*0.055</f>
        <v/>
      </c>
      <c r="O44" s="410">
        <f>O43*0.055</f>
        <v/>
      </c>
      <c r="P44" s="410">
        <f>P43*0.055</f>
        <v/>
      </c>
      <c r="Q44" s="410">
        <f>Q43*0.055</f>
        <v/>
      </c>
      <c r="R44" s="410">
        <f>R43*0.055</f>
        <v/>
      </c>
      <c r="S44" s="410">
        <f>S43*0.055</f>
        <v/>
      </c>
      <c r="T44" s="410">
        <f>T43*0.055</f>
        <v/>
      </c>
      <c r="U44" s="410">
        <f>U43*0.055</f>
        <v/>
      </c>
      <c r="V44" s="410">
        <f>V43*0.055</f>
        <v/>
      </c>
      <c r="W44" s="410">
        <f>W43*0.055</f>
        <v/>
      </c>
      <c r="X44" s="410">
        <f>X43*0.055</f>
        <v/>
      </c>
      <c r="Y44" s="410">
        <f>Y43*0.055</f>
        <v/>
      </c>
      <c r="Z44" s="410">
        <f>Z43*0.055</f>
        <v/>
      </c>
      <c r="AA44" s="410">
        <f>AA43*0.055</f>
        <v/>
      </c>
      <c r="AB44" s="410">
        <f>AB43*0.055</f>
        <v/>
      </c>
      <c r="AC44" s="410">
        <f>AC43*0.055</f>
        <v/>
      </c>
      <c r="AD44" s="410">
        <f>AD43*0.055</f>
        <v/>
      </c>
      <c r="AE44" s="410">
        <f>AE43*0.055</f>
        <v/>
      </c>
      <c r="AF44" s="410">
        <f>AF43*0.055</f>
        <v/>
      </c>
      <c r="AG44" s="410">
        <f>AG43*0.055</f>
        <v/>
      </c>
      <c r="AH44" s="410">
        <f>AH43*0.055</f>
        <v/>
      </c>
      <c r="AI44" s="410">
        <f>AI43*0.055</f>
        <v/>
      </c>
      <c r="AJ44" s="410">
        <f>AJ43*0.055</f>
        <v/>
      </c>
      <c r="AK44" s="410">
        <f>AK43*0.055</f>
        <v/>
      </c>
      <c r="AL44" s="410">
        <f>AL43*0.055</f>
        <v/>
      </c>
      <c r="AM44" s="410">
        <f>AM43*0.055</f>
        <v/>
      </c>
      <c r="AN44" s="324">
        <f>SUM(D44:O44)</f>
        <v/>
      </c>
      <c r="AO44" s="324">
        <f>SUM(P44:AA44)</f>
        <v/>
      </c>
      <c r="AP44" s="324">
        <f>SUM(AB44:AM44)</f>
        <v/>
      </c>
      <c r="AQ44" s="410">
        <f>AQ43*0.055</f>
        <v/>
      </c>
      <c r="AR44" s="410">
        <f>AR43*0.055</f>
        <v/>
      </c>
      <c r="AS44" s="410">
        <f>AS43*0.055</f>
        <v/>
      </c>
      <c r="AT44" s="410">
        <f>AT43*0.055</f>
        <v/>
      </c>
      <c r="AU44" s="410">
        <f>AU43*0.055</f>
        <v/>
      </c>
      <c r="AV44" s="410">
        <f>AV43*0.055</f>
        <v/>
      </c>
      <c r="AW44" s="410">
        <f>AW43*0.055</f>
        <v/>
      </c>
      <c r="AX44" s="410">
        <f>AX43*0.055</f>
        <v/>
      </c>
      <c r="AY44" s="324">
        <f>SUM(AQ44:AT44)</f>
        <v/>
      </c>
      <c r="AZ44" s="324">
        <f>SUM(AU44:AX44)</f>
        <v/>
      </c>
    </row>
    <row r="45" ht="15" customHeight="1">
      <c r="B45" s="314" t="inlineStr">
        <is>
          <t>Gewerbesteuer (~14%)</t>
        </is>
      </c>
      <c r="D45" s="323">
        <f>IF(D41&gt;0,-D41*0.14,0)</f>
        <v/>
      </c>
      <c r="E45" s="323">
        <f>IF(E41&gt;0,-E41*0.14,0)</f>
        <v/>
      </c>
      <c r="F45" s="323">
        <f>IF(F41&gt;0,-F41*0.14,0)</f>
        <v/>
      </c>
      <c r="G45" s="323">
        <f>IF(G41&gt;0,-G41*0.14,0)</f>
        <v/>
      </c>
      <c r="H45" s="323">
        <f>IF(H41&gt;0,-H41*0.14,0)</f>
        <v/>
      </c>
      <c r="I45" s="323">
        <f>IF(I41&gt;0,-I41*0.14,0)</f>
        <v/>
      </c>
      <c r="J45" s="323">
        <f>IF(J41&gt;0,-J41*0.14,0)</f>
        <v/>
      </c>
      <c r="K45" s="323">
        <f>IF(K41&gt;0,-K41*0.14,0)</f>
        <v/>
      </c>
      <c r="L45" s="323">
        <f>IF(L41&gt;0,-L41*0.14,0)</f>
        <v/>
      </c>
      <c r="M45" s="323">
        <f>IF(M41&gt;0,-M41*0.14,0)</f>
        <v/>
      </c>
      <c r="N45" s="323">
        <f>IF(N41&gt;0,-N41*0.14,0)</f>
        <v/>
      </c>
      <c r="O45" s="323">
        <f>IF(O41&gt;0,-O41*0.14,0)</f>
        <v/>
      </c>
      <c r="P45" s="323">
        <f>IF(P41&gt;0,-P41*0.14,0)</f>
        <v/>
      </c>
      <c r="Q45" s="323">
        <f>IF(Q41&gt;0,-Q41*0.14,0)</f>
        <v/>
      </c>
      <c r="R45" s="323">
        <f>IF(R41&gt;0,-R41*0.14,0)</f>
        <v/>
      </c>
      <c r="S45" s="323">
        <f>IF(S41&gt;0,-S41*0.14,0)</f>
        <v/>
      </c>
      <c r="T45" s="323">
        <f>IF(T41&gt;0,-T41*0.14,0)</f>
        <v/>
      </c>
      <c r="U45" s="323">
        <f>IF(U41&gt;0,-U41*0.14,0)</f>
        <v/>
      </c>
      <c r="V45" s="323">
        <f>IF(V41&gt;0,-V41*0.14,0)</f>
        <v/>
      </c>
      <c r="W45" s="323">
        <f>IF(W41&gt;0,-W41*0.14,0)</f>
        <v/>
      </c>
      <c r="X45" s="323">
        <f>IF(X41&gt;0,-X41*0.14,0)</f>
        <v/>
      </c>
      <c r="Y45" s="323">
        <f>IF(Y41&gt;0,-Y41*0.14,0)</f>
        <v/>
      </c>
      <c r="Z45" s="323">
        <f>IF(Z41&gt;0,-Z41*0.14,0)</f>
        <v/>
      </c>
      <c r="AA45" s="323">
        <f>IF(AA41&gt;0,-AA41*0.14,0)</f>
        <v/>
      </c>
      <c r="AB45" s="323">
        <f>IF(AB41&gt;0,-AB41*0.14,0)</f>
        <v/>
      </c>
      <c r="AC45" s="323">
        <f>IF(AC41&gt;0,-AC41*0.14,0)</f>
        <v/>
      </c>
      <c r="AD45" s="323">
        <f>IF(AD41&gt;0,-AD41*0.14,0)</f>
        <v/>
      </c>
      <c r="AE45" s="323">
        <f>IF(AE41&gt;0,-AE41*0.14,0)</f>
        <v/>
      </c>
      <c r="AF45" s="323">
        <f>IF(AF41&gt;0,-AF41*0.14,0)</f>
        <v/>
      </c>
      <c r="AG45" s="323">
        <f>IF(AG41&gt;0,-AG41*0.14,0)</f>
        <v/>
      </c>
      <c r="AH45" s="323">
        <f>IF(AH41&gt;0,-AH41*0.14,0)</f>
        <v/>
      </c>
      <c r="AI45" s="323">
        <f>IF(AI41&gt;0,-AI41*0.14,0)</f>
        <v/>
      </c>
      <c r="AJ45" s="323">
        <f>IF(AJ41&gt;0,-AJ41*0.14,0)</f>
        <v/>
      </c>
      <c r="AK45" s="323">
        <f>IF(AK41&gt;0,-AK41*0.14,0)</f>
        <v/>
      </c>
      <c r="AL45" s="323">
        <f>IF(AL41&gt;0,-AL41*0.14,0)</f>
        <v/>
      </c>
      <c r="AM45" s="323">
        <f>IF(AM41&gt;0,-AM41*0.14,0)</f>
        <v/>
      </c>
      <c r="AN45" s="324">
        <f>SUM(D45:O45)</f>
        <v/>
      </c>
      <c r="AO45" s="324">
        <f>SUM(P45:AA45)</f>
        <v/>
      </c>
      <c r="AP45" s="324">
        <f>SUM(AB45:AM45)</f>
        <v/>
      </c>
      <c r="AQ45" s="323">
        <f>IF(AQ41&gt;0,-AQ41*0.14,0)</f>
        <v/>
      </c>
      <c r="AR45" s="323">
        <f>IF(AR41&gt;0,-AR41*0.14,0)</f>
        <v/>
      </c>
      <c r="AS45" s="323">
        <f>IF(AS41&gt;0,-AS41*0.14,0)</f>
        <v/>
      </c>
      <c r="AT45" s="323">
        <f>IF(AT41&gt;0,-AT41*0.14,0)</f>
        <v/>
      </c>
      <c r="AU45" s="323">
        <f>IF(AU41&gt;0,-AU41*0.14,0)</f>
        <v/>
      </c>
      <c r="AV45" s="323">
        <f>IF(AV41&gt;0,-AV41*0.14,0)</f>
        <v/>
      </c>
      <c r="AW45" s="323">
        <f>IF(AW41&gt;0,-AW41*0.14,0)</f>
        <v/>
      </c>
      <c r="AX45" s="323">
        <f>IF(AX41&gt;0,-AX41*0.14,0)</f>
        <v/>
      </c>
      <c r="AY45" s="324">
        <f>SUM(AQ45:AT45)</f>
        <v/>
      </c>
      <c r="AZ45" s="324">
        <f>SUM(AU45:AX45)</f>
        <v/>
      </c>
    </row>
    <row r="46" ht="15" customHeight="1">
      <c r="B46" s="325" t="inlineStr">
        <is>
          <t>SUMME STEUERN</t>
        </is>
      </c>
      <c r="C46" s="43" t="n"/>
      <c r="D46" s="324">
        <f>D43+D44+D45</f>
        <v/>
      </c>
      <c r="E46" s="324">
        <f>E43+E44+E45</f>
        <v/>
      </c>
      <c r="F46" s="324">
        <f>F43+F44+F45</f>
        <v/>
      </c>
      <c r="G46" s="324">
        <f>G43+G44+G45</f>
        <v/>
      </c>
      <c r="H46" s="324">
        <f>H43+H44+H45</f>
        <v/>
      </c>
      <c r="I46" s="324">
        <f>I43+I44+I45</f>
        <v/>
      </c>
      <c r="J46" s="324">
        <f>J43+J44+J45</f>
        <v/>
      </c>
      <c r="K46" s="324">
        <f>K43+K44+K45</f>
        <v/>
      </c>
      <c r="L46" s="324">
        <f>L43+L44+L45</f>
        <v/>
      </c>
      <c r="M46" s="324">
        <f>M43+M44+M45</f>
        <v/>
      </c>
      <c r="N46" s="324">
        <f>N43+N44+N45</f>
        <v/>
      </c>
      <c r="O46" s="324">
        <f>O43+O44+O45</f>
        <v/>
      </c>
      <c r="P46" s="324">
        <f>P43+P44+P45</f>
        <v/>
      </c>
      <c r="Q46" s="324">
        <f>Q43+Q44+Q45</f>
        <v/>
      </c>
      <c r="R46" s="324">
        <f>R43+R44+R45</f>
        <v/>
      </c>
      <c r="S46" s="324">
        <f>S43+S44+S45</f>
        <v/>
      </c>
      <c r="T46" s="324">
        <f>T43+T44+T45</f>
        <v/>
      </c>
      <c r="U46" s="324">
        <f>U43+U44+U45</f>
        <v/>
      </c>
      <c r="V46" s="324">
        <f>V43+V44+V45</f>
        <v/>
      </c>
      <c r="W46" s="324">
        <f>W43+W44+W45</f>
        <v/>
      </c>
      <c r="X46" s="324">
        <f>X43+X44+X45</f>
        <v/>
      </c>
      <c r="Y46" s="324">
        <f>Y43+Y44+Y45</f>
        <v/>
      </c>
      <c r="Z46" s="324">
        <f>Z43+Z44+Z45</f>
        <v/>
      </c>
      <c r="AA46" s="324">
        <f>AA43+AA44+AA45</f>
        <v/>
      </c>
      <c r="AB46" s="324">
        <f>AB43+AB44+AB45</f>
        <v/>
      </c>
      <c r="AC46" s="324">
        <f>AC43+AC44+AC45</f>
        <v/>
      </c>
      <c r="AD46" s="324">
        <f>AD43+AD44+AD45</f>
        <v/>
      </c>
      <c r="AE46" s="324">
        <f>AE43+AE44+AE45</f>
        <v/>
      </c>
      <c r="AF46" s="324">
        <f>AF43+AF44+AF45</f>
        <v/>
      </c>
      <c r="AG46" s="324">
        <f>AG43+AG44+AG45</f>
        <v/>
      </c>
      <c r="AH46" s="324">
        <f>AH43+AH44+AH45</f>
        <v/>
      </c>
      <c r="AI46" s="324">
        <f>AI43+AI44+AI45</f>
        <v/>
      </c>
      <c r="AJ46" s="324">
        <f>AJ43+AJ44+AJ45</f>
        <v/>
      </c>
      <c r="AK46" s="324">
        <f>AK43+AK44+AK45</f>
        <v/>
      </c>
      <c r="AL46" s="324">
        <f>AL43+AL44+AL45</f>
        <v/>
      </c>
      <c r="AM46" s="324">
        <f>AM43+AM44+AM45</f>
        <v/>
      </c>
      <c r="AN46" s="324">
        <f>SUM(D46:O46)</f>
        <v/>
      </c>
      <c r="AO46" s="324">
        <f>SUM(P46:AA46)</f>
        <v/>
      </c>
      <c r="AP46" s="324">
        <f>SUM(AB46:AM46)</f>
        <v/>
      </c>
      <c r="AQ46" s="324">
        <f>AQ43+AQ44+AQ45</f>
        <v/>
      </c>
      <c r="AR46" s="324">
        <f>AR43+AR44+AR45</f>
        <v/>
      </c>
      <c r="AS46" s="324">
        <f>AS43+AS44+AS45</f>
        <v/>
      </c>
      <c r="AT46" s="324">
        <f>AT43+AT44+AT45</f>
        <v/>
      </c>
      <c r="AU46" s="324">
        <f>AU43+AU44+AU45</f>
        <v/>
      </c>
      <c r="AV46" s="324">
        <f>AV43+AV44+AV45</f>
        <v/>
      </c>
      <c r="AW46" s="324">
        <f>AW43+AW44+AW45</f>
        <v/>
      </c>
      <c r="AX46" s="324">
        <f>AX43+AX44+AX45</f>
        <v/>
      </c>
      <c r="AY46" s="324">
        <f>SUM(AQ46:AT46)</f>
        <v/>
      </c>
      <c r="AZ46" s="324">
        <f>SUM(AU46:AX46)</f>
        <v/>
      </c>
    </row>
    <row r="48" ht="15" customHeight="1">
      <c r="B48" s="325" t="inlineStr">
        <is>
          <t>JAHRESÜBERSCHUSS (Net Income)</t>
        </is>
      </c>
      <c r="C48" s="43" t="n"/>
      <c r="D48" s="324">
        <f>D41+D46</f>
        <v/>
      </c>
      <c r="E48" s="324">
        <f>E41+E46</f>
        <v/>
      </c>
      <c r="F48" s="324">
        <f>F41+F46</f>
        <v/>
      </c>
      <c r="G48" s="324">
        <f>G41+G46</f>
        <v/>
      </c>
      <c r="H48" s="324">
        <f>H41+H46</f>
        <v/>
      </c>
      <c r="I48" s="324">
        <f>I41+I46</f>
        <v/>
      </c>
      <c r="J48" s="324">
        <f>J41+J46</f>
        <v/>
      </c>
      <c r="K48" s="324">
        <f>K41+K46</f>
        <v/>
      </c>
      <c r="L48" s="324">
        <f>L41+L46</f>
        <v/>
      </c>
      <c r="M48" s="324">
        <f>M41+M46</f>
        <v/>
      </c>
      <c r="N48" s="324">
        <f>N41+N46</f>
        <v/>
      </c>
      <c r="O48" s="324">
        <f>O41+O46</f>
        <v/>
      </c>
      <c r="P48" s="324">
        <f>P41+P46</f>
        <v/>
      </c>
      <c r="Q48" s="324">
        <f>Q41+Q46</f>
        <v/>
      </c>
      <c r="R48" s="324">
        <f>R41+R46</f>
        <v/>
      </c>
      <c r="S48" s="324">
        <f>S41+S46</f>
        <v/>
      </c>
      <c r="T48" s="324">
        <f>T41+T46</f>
        <v/>
      </c>
      <c r="U48" s="324">
        <f>U41+U46</f>
        <v/>
      </c>
      <c r="V48" s="324">
        <f>V41+V46</f>
        <v/>
      </c>
      <c r="W48" s="324">
        <f>W41+W46</f>
        <v/>
      </c>
      <c r="X48" s="324">
        <f>X41+X46</f>
        <v/>
      </c>
      <c r="Y48" s="324">
        <f>Y41+Y46</f>
        <v/>
      </c>
      <c r="Z48" s="324">
        <f>Z41+Z46</f>
        <v/>
      </c>
      <c r="AA48" s="324">
        <f>AA41+AA46</f>
        <v/>
      </c>
      <c r="AB48" s="324">
        <f>AB41+AB46</f>
        <v/>
      </c>
      <c r="AC48" s="324">
        <f>AC41+AC46</f>
        <v/>
      </c>
      <c r="AD48" s="324">
        <f>AD41+AD46</f>
        <v/>
      </c>
      <c r="AE48" s="324">
        <f>AE41+AE46</f>
        <v/>
      </c>
      <c r="AF48" s="324">
        <f>AF41+AF46</f>
        <v/>
      </c>
      <c r="AG48" s="324">
        <f>AG41+AG46</f>
        <v/>
      </c>
      <c r="AH48" s="324">
        <f>AH41+AH46</f>
        <v/>
      </c>
      <c r="AI48" s="324">
        <f>AI41+AI46</f>
        <v/>
      </c>
      <c r="AJ48" s="324">
        <f>AJ41+AJ46</f>
        <v/>
      </c>
      <c r="AK48" s="324">
        <f>AK41+AK46</f>
        <v/>
      </c>
      <c r="AL48" s="324">
        <f>AL41+AL46</f>
        <v/>
      </c>
      <c r="AM48" s="324">
        <f>AM41+AM46</f>
        <v/>
      </c>
      <c r="AN48" s="324">
        <f>SUM(D48:O48)</f>
        <v/>
      </c>
      <c r="AO48" s="324">
        <f>SUM(P48:AA48)</f>
        <v/>
      </c>
      <c r="AP48" s="324">
        <f>SUM(AB48:AM48)</f>
        <v/>
      </c>
      <c r="AQ48" s="324">
        <f>AQ41+AQ46</f>
        <v/>
      </c>
      <c r="AR48" s="324">
        <f>AR41+AR46</f>
        <v/>
      </c>
      <c r="AS48" s="324">
        <f>AS41+AS46</f>
        <v/>
      </c>
      <c r="AT48" s="324">
        <f>AT41+AT46</f>
        <v/>
      </c>
      <c r="AU48" s="324">
        <f>AU41+AU46</f>
        <v/>
      </c>
      <c r="AV48" s="324">
        <f>AV41+AV46</f>
        <v/>
      </c>
      <c r="AW48" s="324">
        <f>AW41+AW46</f>
        <v/>
      </c>
      <c r="AX48" s="324">
        <f>AX41+AX46</f>
        <v/>
      </c>
      <c r="AY48" s="324">
        <f>SUM(AQ48:AT48)</f>
        <v/>
      </c>
      <c r="AZ48" s="324">
        <f>SUM(AU48:AX48)</f>
        <v/>
      </c>
    </row>
    <row r="49" ht="15" customHeight="1">
      <c r="B49" s="314" t="inlineStr">
        <is>
          <t>Netto-Marge (%)</t>
        </is>
      </c>
      <c r="D49" s="318">
        <f>IF(D11=0,"",D48/D11)</f>
        <v/>
      </c>
      <c r="E49" s="318">
        <f>IF(E11=0,"",E48/E11)</f>
        <v/>
      </c>
      <c r="F49" s="318">
        <f>IF(F11=0,"",F48/F11)</f>
        <v/>
      </c>
      <c r="G49" s="318">
        <f>IF(G11=0,"",G48/G11)</f>
        <v/>
      </c>
      <c r="H49" s="318">
        <f>IF(H11=0,"",H48/H11)</f>
        <v/>
      </c>
      <c r="I49" s="318">
        <f>IF(I11=0,"",I48/I11)</f>
        <v/>
      </c>
      <c r="J49" s="318">
        <f>IF(J11=0,"",J48/J11)</f>
        <v/>
      </c>
      <c r="K49" s="318">
        <f>IF(K11=0,"",K48/K11)</f>
        <v/>
      </c>
      <c r="L49" s="318">
        <f>IF(L11=0,"",L48/L11)</f>
        <v/>
      </c>
      <c r="M49" s="318">
        <f>IF(M11=0,"",M48/M11)</f>
        <v/>
      </c>
      <c r="N49" s="318">
        <f>IF(N11=0,"",N48/N11)</f>
        <v/>
      </c>
      <c r="O49" s="318">
        <f>IF(O11=0,"",O48/O11)</f>
        <v/>
      </c>
      <c r="P49" s="318">
        <f>IF(P11=0,"",P48/P11)</f>
        <v/>
      </c>
      <c r="Q49" s="318">
        <f>IF(Q11=0,"",Q48/Q11)</f>
        <v/>
      </c>
      <c r="R49" s="318">
        <f>IF(R11=0,"",R48/R11)</f>
        <v/>
      </c>
      <c r="S49" s="318">
        <f>IF(S11=0,"",S48/S11)</f>
        <v/>
      </c>
      <c r="T49" s="318">
        <f>IF(T11=0,"",T48/T11)</f>
        <v/>
      </c>
      <c r="U49" s="318">
        <f>IF(U11=0,"",U48/U11)</f>
        <v/>
      </c>
      <c r="V49" s="318">
        <f>IF(V11=0,"",V48/V11)</f>
        <v/>
      </c>
      <c r="W49" s="318">
        <f>IF(W11=0,"",W48/W11)</f>
        <v/>
      </c>
      <c r="X49" s="318">
        <f>IF(X11=0,"",X48/X11)</f>
        <v/>
      </c>
      <c r="Y49" s="318">
        <f>IF(Y11=0,"",Y48/Y11)</f>
        <v/>
      </c>
      <c r="Z49" s="318">
        <f>IF(Z11=0,"",Z48/Z11)</f>
        <v/>
      </c>
      <c r="AA49" s="318">
        <f>IF(AA11=0,"",AA48/AA11)</f>
        <v/>
      </c>
      <c r="AB49" s="318">
        <f>IF(AB11=0,"",AB48/AB11)</f>
        <v/>
      </c>
      <c r="AC49" s="318">
        <f>IF(AC11=0,"",AC48/AC11)</f>
        <v/>
      </c>
      <c r="AD49" s="318">
        <f>IF(AD11=0,"",AD48/AD11)</f>
        <v/>
      </c>
      <c r="AE49" s="318">
        <f>IF(AE11=0,"",AE48/AE11)</f>
        <v/>
      </c>
      <c r="AF49" s="318">
        <f>IF(AF11=0,"",AF48/AF11)</f>
        <v/>
      </c>
      <c r="AG49" s="318">
        <f>IF(AG11=0,"",AG48/AG11)</f>
        <v/>
      </c>
      <c r="AH49" s="318">
        <f>IF(AH11=0,"",AH48/AH11)</f>
        <v/>
      </c>
      <c r="AI49" s="318">
        <f>IF(AI11=0,"",AI48/AI11)</f>
        <v/>
      </c>
      <c r="AJ49" s="318">
        <f>IF(AJ11=0,"",AJ48/AJ11)</f>
        <v/>
      </c>
      <c r="AK49" s="318">
        <f>IF(AK11=0,"",AK48/AK11)</f>
        <v/>
      </c>
      <c r="AL49" s="318">
        <f>IF(AL11=0,"",AL48/AL11)</f>
        <v/>
      </c>
      <c r="AM49" s="318">
        <f>IF(AM11=0,"",AM48/AM11)</f>
        <v/>
      </c>
      <c r="AN49" s="328">
        <f>IF(AN11=0,"",AN48/AN11)</f>
        <v/>
      </c>
      <c r="AO49" s="328">
        <f>IF(AO11=0,"",AO48/AO11)</f>
        <v/>
      </c>
      <c r="AP49" s="328">
        <f>IF(AP11=0,"",AP48/AP11)</f>
        <v/>
      </c>
      <c r="AQ49" s="318">
        <f>IF(AQ11=0,"",AQ48/AQ11)</f>
        <v/>
      </c>
      <c r="AR49" s="318">
        <f>IF(AR11=0,"",AR48/AR11)</f>
        <v/>
      </c>
      <c r="AS49" s="318">
        <f>IF(AS11=0,"",AS48/AS11)</f>
        <v/>
      </c>
      <c r="AT49" s="318">
        <f>IF(AT11=0,"",AT48/AT11)</f>
        <v/>
      </c>
      <c r="AU49" s="318">
        <f>IF(AU11=0,"",AU48/AU11)</f>
        <v/>
      </c>
      <c r="AV49" s="318">
        <f>IF(AV11=0,"",AV48/AV11)</f>
        <v/>
      </c>
      <c r="AW49" s="318">
        <f>IF(AW11=0,"",AW48/AW11)</f>
        <v/>
      </c>
      <c r="AX49" s="318">
        <f>IF(AX11=0,"",AX48/AX11)</f>
        <v/>
      </c>
      <c r="AY49" s="328">
        <f>IF(AY11=0,"",AY48/AY11)</f>
        <v/>
      </c>
      <c r="AZ49" s="328">
        <f>IF(AZ11=0,"",AZ48/AZ11)</f>
        <v/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3.xml><?xml version="1.0" encoding="utf-8"?>
<worksheet xmlns="http://schemas.openxmlformats.org/spreadsheetml/2006/main">
  <sheetPr>
    <tabColor rgb="002D5A27"/>
    <outlinePr summaryBelow="1" summaryRight="1"/>
    <pageSetUpPr/>
  </sheetPr>
  <dimension ref="B1:AZ37"/>
  <sheetViews>
    <sheetView zoomScaleNormal="100" workbookViewId="0">
      <pane ySplit="1" topLeftCell="A2" activePane="bottomLeft" state="frozen"/>
      <selection pane="bottomLeft" activeCell="AD1" sqref="AD1"/>
      <selection pane="bottomLeft" activeCell="A5" sqref="A5"/>
      <selection pane="bottomRight" activeCell="W43" sqref="W43"/>
    </sheetView>
  </sheetViews>
  <sheetFormatPr baseColWidth="10" defaultColWidth="8.6640625" defaultRowHeight="15" customHeight="1"/>
  <cols>
    <col width="10" customWidth="1" min="1" max="1"/>
    <col width="30" customWidth="1" min="2" max="2"/>
    <col width="10" customWidth="1" min="3" max="3"/>
    <col width="30" customWidth="1" min="4" max="52"/>
    <col width="30" customWidth="1" min="5" max="5"/>
    <col width="30" customWidth="1" min="6" max="6"/>
    <col width="30" customWidth="1" min="7" max="7"/>
    <col width="30" customWidth="1" min="8" max="8"/>
    <col width="30" customWidth="1" min="9" max="9"/>
    <col width="30" customWidth="1" min="10" max="10"/>
    <col width="30" customWidth="1" min="11" max="11"/>
    <col width="30" customWidth="1" min="12" max="12"/>
    <col width="30" customWidth="1" min="13" max="13"/>
    <col width="30" customWidth="1" min="14" max="14"/>
    <col width="30" customWidth="1" min="15" max="15"/>
    <col width="30" customWidth="1" min="16" max="16"/>
    <col width="30" customWidth="1" min="17" max="17"/>
    <col width="30" customWidth="1" min="18" max="18"/>
    <col width="30" customWidth="1" min="19" max="19"/>
    <col width="30" customWidth="1" min="20" max="20"/>
    <col width="30" customWidth="1" min="21" max="21"/>
    <col width="30" customWidth="1" min="22" max="22"/>
    <col width="30" customWidth="1" min="23" max="23"/>
    <col width="30" customWidth="1" min="24" max="24"/>
    <col width="30" customWidth="1" min="25" max="25"/>
    <col width="30" customWidth="1" min="26" max="26"/>
    <col width="30" customWidth="1" min="27" max="27"/>
    <col width="30" customWidth="1" min="28" max="28"/>
    <col width="30" customWidth="1" min="29" max="29"/>
    <col width="30" customWidth="1" min="30" max="30"/>
    <col width="30" customWidth="1" min="31" max="31"/>
    <col width="30" customWidth="1" min="32" max="32"/>
    <col width="30" customWidth="1" min="33" max="33"/>
    <col width="30" customWidth="1" min="34" max="34"/>
    <col width="30" customWidth="1" min="35" max="35"/>
    <col width="30" customWidth="1" min="36" max="36"/>
    <col width="30" customWidth="1" min="37" max="37"/>
    <col width="30" customWidth="1" min="38" max="38"/>
    <col width="30" customWidth="1" min="39" max="39"/>
    <col width="15" customWidth="1" min="40" max="40"/>
    <col width="16" customWidth="1" min="41" max="41"/>
    <col width="17" customWidth="1" min="42" max="42"/>
    <col width="30" customWidth="1" min="43" max="43"/>
    <col width="30" customWidth="1" min="44" max="44"/>
    <col width="30" customWidth="1" min="45" max="45"/>
    <col width="30" customWidth="1" min="46" max="46"/>
    <col width="30" customWidth="1" min="47" max="47"/>
    <col width="30" customWidth="1" min="48" max="48"/>
    <col width="30" customWidth="1" min="49" max="49"/>
    <col width="30" customWidth="1" min="50" max="50"/>
    <col width="17" customWidth="1" min="51" max="51"/>
    <col width="17" customWidth="1" min="52" max="52"/>
  </cols>
  <sheetData>
    <row r="1" ht="24" customHeight="1">
      <c r="B1" s="405" t="inlineStr">
        <is>
          <t>PHYOX BioGenesis (NovaVersum GmbH) – Plan-Bilanz (Balance Sheet)</t>
        </is>
      </c>
    </row>
    <row r="2" ht="15" customHeight="1">
      <c r="B2" s="406" t="inlineStr">
        <is>
          <t>Monatlich (Jahr 1-3) | Quartalsweise (Jahr 4-5) | Base Case</t>
        </is>
      </c>
    </row>
    <row r="3"/>
    <row r="4" ht="15" customHeight="1">
      <c r="B4" s="319" t="inlineStr">
        <is>
          <t>Position</t>
        </is>
      </c>
      <c r="C4" s="319" t="inlineStr">
        <is>
          <t>€</t>
        </is>
      </c>
      <c r="D4" s="319" t="inlineStr">
        <is>
          <t>Jan J1</t>
        </is>
      </c>
      <c r="E4" s="319" t="inlineStr">
        <is>
          <t>Feb J1</t>
        </is>
      </c>
      <c r="F4" s="319" t="inlineStr">
        <is>
          <t>Mär J1</t>
        </is>
      </c>
      <c r="G4" s="319" t="inlineStr">
        <is>
          <t>Apr J1</t>
        </is>
      </c>
      <c r="H4" s="319" t="inlineStr">
        <is>
          <t>Mai J1</t>
        </is>
      </c>
      <c r="I4" s="319" t="inlineStr">
        <is>
          <t>Jun J1</t>
        </is>
      </c>
      <c r="J4" s="319" t="inlineStr">
        <is>
          <t>Jul J1</t>
        </is>
      </c>
      <c r="K4" s="319" t="inlineStr">
        <is>
          <t>Aug J1</t>
        </is>
      </c>
      <c r="L4" s="319" t="inlineStr">
        <is>
          <t>Sep J1</t>
        </is>
      </c>
      <c r="M4" s="319" t="inlineStr">
        <is>
          <t>Okt J1</t>
        </is>
      </c>
      <c r="N4" s="319" t="inlineStr">
        <is>
          <t>Nov J1</t>
        </is>
      </c>
      <c r="O4" s="319" t="inlineStr">
        <is>
          <t>Dez J1</t>
        </is>
      </c>
      <c r="P4" s="319" t="inlineStr">
        <is>
          <t>Jan J2</t>
        </is>
      </c>
      <c r="Q4" s="319" t="inlineStr">
        <is>
          <t>Feb J2</t>
        </is>
      </c>
      <c r="R4" s="319" t="inlineStr">
        <is>
          <t>Mär J2</t>
        </is>
      </c>
      <c r="S4" s="319" t="inlineStr">
        <is>
          <t>Apr J2</t>
        </is>
      </c>
      <c r="T4" s="319" t="inlineStr">
        <is>
          <t>Mai J2</t>
        </is>
      </c>
      <c r="U4" s="319" t="inlineStr">
        <is>
          <t>Jun J2</t>
        </is>
      </c>
      <c r="V4" s="319" t="inlineStr">
        <is>
          <t>Jul J2</t>
        </is>
      </c>
      <c r="W4" s="319" t="inlineStr">
        <is>
          <t>Aug J2</t>
        </is>
      </c>
      <c r="X4" s="319" t="inlineStr">
        <is>
          <t>Sep J2</t>
        </is>
      </c>
      <c r="Y4" s="319" t="inlineStr">
        <is>
          <t>Okt J2</t>
        </is>
      </c>
      <c r="Z4" s="319" t="inlineStr">
        <is>
          <t>Nov J2</t>
        </is>
      </c>
      <c r="AA4" s="319" t="inlineStr">
        <is>
          <t>Dez J2</t>
        </is>
      </c>
      <c r="AB4" s="319" t="inlineStr">
        <is>
          <t>Jan J3</t>
        </is>
      </c>
      <c r="AC4" s="319" t="inlineStr">
        <is>
          <t>Feb J3</t>
        </is>
      </c>
      <c r="AD4" s="319" t="inlineStr">
        <is>
          <t>Mär J3</t>
        </is>
      </c>
      <c r="AE4" s="319" t="inlineStr">
        <is>
          <t>Apr J3</t>
        </is>
      </c>
      <c r="AF4" s="319" t="inlineStr">
        <is>
          <t>Mai J3</t>
        </is>
      </c>
      <c r="AG4" s="319" t="inlineStr">
        <is>
          <t>Jun J3</t>
        </is>
      </c>
      <c r="AH4" s="319" t="inlineStr">
        <is>
          <t>Jul J3</t>
        </is>
      </c>
      <c r="AI4" s="319" t="inlineStr">
        <is>
          <t>Aug J3</t>
        </is>
      </c>
      <c r="AJ4" s="319" t="inlineStr">
        <is>
          <t>Sep J3</t>
        </is>
      </c>
      <c r="AK4" s="319" t="inlineStr">
        <is>
          <t>Okt J3</t>
        </is>
      </c>
      <c r="AL4" s="319" t="inlineStr">
        <is>
          <t>Nov J3</t>
        </is>
      </c>
      <c r="AM4" s="319" t="inlineStr">
        <is>
          <t>Dez J3</t>
        </is>
      </c>
      <c r="AN4" s="319" t="inlineStr">
        <is>
          <t>JAHR 1</t>
        </is>
      </c>
      <c r="AO4" s="319" t="inlineStr">
        <is>
          <t>JAHR 2</t>
        </is>
      </c>
      <c r="AP4" s="319" t="inlineStr">
        <is>
          <t>JAHR 3</t>
        </is>
      </c>
      <c r="AQ4" s="319" t="inlineStr">
        <is>
          <t>Q1 J4</t>
        </is>
      </c>
      <c r="AR4" s="319" t="inlineStr">
        <is>
          <t>Q2 J4</t>
        </is>
      </c>
      <c r="AS4" s="319" t="inlineStr">
        <is>
          <t>Q3 J4</t>
        </is>
      </c>
      <c r="AT4" s="319" t="inlineStr">
        <is>
          <t>Q4 J4</t>
        </is>
      </c>
      <c r="AU4" s="319" t="inlineStr">
        <is>
          <t>Q1 J5</t>
        </is>
      </c>
      <c r="AV4" s="319" t="inlineStr">
        <is>
          <t>Q2 J5</t>
        </is>
      </c>
      <c r="AW4" s="319" t="inlineStr">
        <is>
          <t>Q3 J5</t>
        </is>
      </c>
      <c r="AX4" s="319" t="inlineStr">
        <is>
          <t>Q4 J5</t>
        </is>
      </c>
      <c r="AY4" s="319" t="inlineStr">
        <is>
          <t>JAHR 4</t>
        </is>
      </c>
      <c r="AZ4" s="319" t="inlineStr">
        <is>
          <t>JAHR 5</t>
        </is>
      </c>
    </row>
    <row r="5" ht="15" customHeight="1">
      <c r="B5" s="314" t="inlineStr">
        <is>
          <t>AKTIVA (Assets)</t>
        </is>
      </c>
    </row>
    <row r="6" ht="15" customHeight="1">
      <c r="B6" s="39" t="n"/>
    </row>
    <row r="7" ht="15" customHeight="1">
      <c r="B7" s="314" t="inlineStr">
        <is>
          <t>A. Anlagevermögen</t>
        </is>
      </c>
    </row>
    <row r="8" ht="15" customHeight="1">
      <c r="B8" s="406" t="inlineStr">
        <is>
          <t>Sachanlagen (brutto)</t>
        </is>
      </c>
      <c r="D8" s="410">
        <f>CAPEX!$C$20</f>
        <v/>
      </c>
      <c r="E8" s="410">
        <f>D8+Modellsteuerung!E31</f>
        <v/>
      </c>
      <c r="F8" s="410">
        <f>E8+Modellsteuerung!F31</f>
        <v/>
      </c>
      <c r="G8" s="410">
        <f>F8+Modellsteuerung!G31</f>
        <v/>
      </c>
      <c r="H8" s="410">
        <f>G8+Modellsteuerung!H31</f>
        <v/>
      </c>
      <c r="I8" s="410">
        <f>H8+Modellsteuerung!I31</f>
        <v/>
      </c>
      <c r="J8" s="410">
        <f>I8+Modellsteuerung!J31</f>
        <v/>
      </c>
      <c r="K8" s="410">
        <f>J8+Modellsteuerung!K31</f>
        <v/>
      </c>
      <c r="L8" s="410">
        <f>K8+Modellsteuerung!L31</f>
        <v/>
      </c>
      <c r="M8" s="410">
        <f>L8+Modellsteuerung!M31</f>
        <v/>
      </c>
      <c r="N8" s="410">
        <f>M8+Modellsteuerung!N31</f>
        <v/>
      </c>
      <c r="O8" s="410">
        <f>N8+Modellsteuerung!O31</f>
        <v/>
      </c>
      <c r="P8" s="410">
        <f>O8+Modellsteuerung!P31</f>
        <v/>
      </c>
      <c r="Q8" s="410">
        <f>P8+Modellsteuerung!Q31</f>
        <v/>
      </c>
      <c r="R8" s="410">
        <f>Q8+Modellsteuerung!R31</f>
        <v/>
      </c>
      <c r="S8" s="410">
        <f>R8+Modellsteuerung!S31</f>
        <v/>
      </c>
      <c r="T8" s="410">
        <f>S8+Modellsteuerung!T31</f>
        <v/>
      </c>
      <c r="U8" s="410">
        <f>T8+Modellsteuerung!U31</f>
        <v/>
      </c>
      <c r="V8" s="410">
        <f>U8+Modellsteuerung!V31</f>
        <v/>
      </c>
      <c r="W8" s="410">
        <f>V8+Modellsteuerung!W31</f>
        <v/>
      </c>
      <c r="X8" s="410">
        <f>W8+Modellsteuerung!X31</f>
        <v/>
      </c>
      <c r="Y8" s="410">
        <f>X8+Modellsteuerung!Y31</f>
        <v/>
      </c>
      <c r="Z8" s="410">
        <f>Y8+Modellsteuerung!Z31</f>
        <v/>
      </c>
      <c r="AA8" s="410">
        <f>Z8+Modellsteuerung!AA31</f>
        <v/>
      </c>
      <c r="AB8" s="410">
        <f>AA8+Modellsteuerung!AB31</f>
        <v/>
      </c>
      <c r="AC8" s="410">
        <f>AB8+Modellsteuerung!AC31</f>
        <v/>
      </c>
      <c r="AD8" s="410">
        <f>AC8+Modellsteuerung!AD31</f>
        <v/>
      </c>
      <c r="AE8" s="410">
        <f>AD8+Modellsteuerung!AE31</f>
        <v/>
      </c>
      <c r="AF8" s="410">
        <f>AE8+Modellsteuerung!AF31</f>
        <v/>
      </c>
      <c r="AG8" s="410">
        <f>AF8+Modellsteuerung!AG31</f>
        <v/>
      </c>
      <c r="AH8" s="410">
        <f>AG8+Modellsteuerung!AH31</f>
        <v/>
      </c>
      <c r="AI8" s="410">
        <f>AH8+Modellsteuerung!AI31</f>
        <v/>
      </c>
      <c r="AJ8" s="410">
        <f>AI8+Modellsteuerung!AJ31</f>
        <v/>
      </c>
      <c r="AK8" s="410">
        <f>AJ8+Modellsteuerung!AK31</f>
        <v/>
      </c>
      <c r="AL8" s="410">
        <f>AK8+Modellsteuerung!AL31</f>
        <v/>
      </c>
      <c r="AM8" s="410">
        <f>AL8+Modellsteuerung!AM31</f>
        <v/>
      </c>
      <c r="AN8" s="324">
        <f>O8</f>
        <v/>
      </c>
      <c r="AO8" s="324">
        <f>AA8</f>
        <v/>
      </c>
      <c r="AP8" s="324">
        <f>AM8</f>
        <v/>
      </c>
      <c r="AQ8" s="410">
        <f>AM8+Modellsteuerung!AQ31</f>
        <v/>
      </c>
      <c r="AR8" s="410">
        <f>AQ8+Modellsteuerung!AR31</f>
        <v/>
      </c>
      <c r="AS8" s="410">
        <f>AR8+Modellsteuerung!AS31</f>
        <v/>
      </c>
      <c r="AT8" s="410">
        <f>AS8+Modellsteuerung!AT31</f>
        <v/>
      </c>
      <c r="AU8" s="410">
        <f>AT8+Modellsteuerung!AU31</f>
        <v/>
      </c>
      <c r="AV8" s="410">
        <f>AU8+Modellsteuerung!AV31</f>
        <v/>
      </c>
      <c r="AW8" s="410">
        <f>AV8+Modellsteuerung!AW31</f>
        <v/>
      </c>
      <c r="AX8" s="410">
        <f>AW8+Modellsteuerung!AX31</f>
        <v/>
      </c>
      <c r="AY8" s="324">
        <f>AT8</f>
        <v/>
      </c>
      <c r="AZ8" s="324">
        <f>AX8</f>
        <v/>
      </c>
    </row>
    <row r="9" ht="15" customHeight="1">
      <c r="B9" s="314" t="inlineStr">
        <is>
          <t>Kum. Abschreibungen</t>
        </is>
      </c>
      <c r="D9" s="323">
        <f>'Plan-GuV'!D18</f>
        <v/>
      </c>
      <c r="E9" s="323">
        <f>D9+'Plan-GuV'!E18</f>
        <v/>
      </c>
      <c r="F9" s="323">
        <f>E9+'Plan-GuV'!F18</f>
        <v/>
      </c>
      <c r="G9" s="323">
        <f>F9+'Plan-GuV'!G18</f>
        <v/>
      </c>
      <c r="H9" s="323">
        <f>G9+'Plan-GuV'!H18</f>
        <v/>
      </c>
      <c r="I9" s="323">
        <f>H9+'Plan-GuV'!I18</f>
        <v/>
      </c>
      <c r="J9" s="323">
        <f>I9+'Plan-GuV'!J18</f>
        <v/>
      </c>
      <c r="K9" s="323">
        <f>J9+'Plan-GuV'!K18</f>
        <v/>
      </c>
      <c r="L9" s="323">
        <f>K9+'Plan-GuV'!L18</f>
        <v/>
      </c>
      <c r="M9" s="323">
        <f>L9+'Plan-GuV'!M18</f>
        <v/>
      </c>
      <c r="N9" s="323">
        <f>M9+'Plan-GuV'!N18</f>
        <v/>
      </c>
      <c r="O9" s="323">
        <f>N9+'Plan-GuV'!O18</f>
        <v/>
      </c>
      <c r="P9" s="323">
        <f>O9+'Plan-GuV'!P18</f>
        <v/>
      </c>
      <c r="Q9" s="323">
        <f>P9+'Plan-GuV'!Q18</f>
        <v/>
      </c>
      <c r="R9" s="323">
        <f>Q9+'Plan-GuV'!R18</f>
        <v/>
      </c>
      <c r="S9" s="323">
        <f>R9+'Plan-GuV'!S18</f>
        <v/>
      </c>
      <c r="T9" s="323">
        <f>S9+'Plan-GuV'!T18</f>
        <v/>
      </c>
      <c r="U9" s="323">
        <f>T9+'Plan-GuV'!U18</f>
        <v/>
      </c>
      <c r="V9" s="323">
        <f>U9+'Plan-GuV'!V18</f>
        <v/>
      </c>
      <c r="W9" s="323">
        <f>V9+'Plan-GuV'!W18</f>
        <v/>
      </c>
      <c r="X9" s="323">
        <f>W9+'Plan-GuV'!X18</f>
        <v/>
      </c>
      <c r="Y9" s="323">
        <f>X9+'Plan-GuV'!Y18</f>
        <v/>
      </c>
      <c r="Z9" s="323">
        <f>Y9+'Plan-GuV'!Z18</f>
        <v/>
      </c>
      <c r="AA9" s="323">
        <f>Z9+'Plan-GuV'!AA18</f>
        <v/>
      </c>
      <c r="AB9" s="323">
        <f>AA9+'Plan-GuV'!AB18</f>
        <v/>
      </c>
      <c r="AC9" s="323">
        <f>AB9+'Plan-GuV'!AC18</f>
        <v/>
      </c>
      <c r="AD9" s="323">
        <f>AC9+'Plan-GuV'!AD18</f>
        <v/>
      </c>
      <c r="AE9" s="323">
        <f>AD9+'Plan-GuV'!AE18</f>
        <v/>
      </c>
      <c r="AF9" s="323">
        <f>AE9+'Plan-GuV'!AF18</f>
        <v/>
      </c>
      <c r="AG9" s="323">
        <f>AF9+'Plan-GuV'!AG18</f>
        <v/>
      </c>
      <c r="AH9" s="323">
        <f>AG9+'Plan-GuV'!AH18</f>
        <v/>
      </c>
      <c r="AI9" s="323">
        <f>AH9+'Plan-GuV'!AI18</f>
        <v/>
      </c>
      <c r="AJ9" s="323">
        <f>AI9+'Plan-GuV'!AJ18</f>
        <v/>
      </c>
      <c r="AK9" s="323">
        <f>AJ9+'Plan-GuV'!AK18</f>
        <v/>
      </c>
      <c r="AL9" s="323">
        <f>AK9+'Plan-GuV'!AL18</f>
        <v/>
      </c>
      <c r="AM9" s="323">
        <f>AL9+'Plan-GuV'!AM18</f>
        <v/>
      </c>
      <c r="AN9" s="324">
        <f>O9</f>
        <v/>
      </c>
      <c r="AO9" s="324">
        <f>AA9</f>
        <v/>
      </c>
      <c r="AP9" s="324">
        <f>AM9</f>
        <v/>
      </c>
      <c r="AQ9" s="323">
        <f>AM9+'Plan-GuV'!AQ18</f>
        <v/>
      </c>
      <c r="AR9" s="323">
        <f>AQ9+'Plan-GuV'!AR18</f>
        <v/>
      </c>
      <c r="AS9" s="323">
        <f>AR9+'Plan-GuV'!AS18</f>
        <v/>
      </c>
      <c r="AT9" s="323">
        <f>AS9+'Plan-GuV'!AT18</f>
        <v/>
      </c>
      <c r="AU9" s="323">
        <f>AT9+'Plan-GuV'!AU18</f>
        <v/>
      </c>
      <c r="AV9" s="323">
        <f>AU9+'Plan-GuV'!AV18</f>
        <v/>
      </c>
      <c r="AW9" s="323">
        <f>AV9+'Plan-GuV'!AW18</f>
        <v/>
      </c>
      <c r="AX9" s="323">
        <f>AW9+'Plan-GuV'!AX18</f>
        <v/>
      </c>
      <c r="AY9" s="324">
        <f>AT9</f>
        <v/>
      </c>
      <c r="AZ9" s="324">
        <f>AX9</f>
        <v/>
      </c>
    </row>
    <row r="10" ht="15" customHeight="1">
      <c r="B10" s="406" t="inlineStr">
        <is>
          <t>Sachanlagen (netto)</t>
        </is>
      </c>
      <c r="D10" s="410">
        <f>D8+D9</f>
        <v/>
      </c>
      <c r="E10" s="410">
        <f>E8+E9</f>
        <v/>
      </c>
      <c r="F10" s="410">
        <f>F8+F9</f>
        <v/>
      </c>
      <c r="G10" s="410">
        <f>G8+G9</f>
        <v/>
      </c>
      <c r="H10" s="410">
        <f>H8+H9</f>
        <v/>
      </c>
      <c r="I10" s="410">
        <f>I8+I9</f>
        <v/>
      </c>
      <c r="J10" s="410">
        <f>J8+J9</f>
        <v/>
      </c>
      <c r="K10" s="410">
        <f>K8+K9</f>
        <v/>
      </c>
      <c r="L10" s="410">
        <f>L8+L9</f>
        <v/>
      </c>
      <c r="M10" s="410">
        <f>M8+M9</f>
        <v/>
      </c>
      <c r="N10" s="410">
        <f>N8+N9</f>
        <v/>
      </c>
      <c r="O10" s="410">
        <f>O8+O9</f>
        <v/>
      </c>
      <c r="P10" s="410">
        <f>P8+P9</f>
        <v/>
      </c>
      <c r="Q10" s="410">
        <f>Q8+Q9</f>
        <v/>
      </c>
      <c r="R10" s="410">
        <f>R8+R9</f>
        <v/>
      </c>
      <c r="S10" s="410">
        <f>S8+S9</f>
        <v/>
      </c>
      <c r="T10" s="410">
        <f>T8+T9</f>
        <v/>
      </c>
      <c r="U10" s="410">
        <f>U8+U9</f>
        <v/>
      </c>
      <c r="V10" s="410">
        <f>V8+V9</f>
        <v/>
      </c>
      <c r="W10" s="410">
        <f>W8+W9</f>
        <v/>
      </c>
      <c r="X10" s="410">
        <f>X8+X9</f>
        <v/>
      </c>
      <c r="Y10" s="410">
        <f>Y8+Y9</f>
        <v/>
      </c>
      <c r="Z10" s="410">
        <f>Z8+Z9</f>
        <v/>
      </c>
      <c r="AA10" s="410">
        <f>AA8+AA9</f>
        <v/>
      </c>
      <c r="AB10" s="410">
        <f>AB8+AB9</f>
        <v/>
      </c>
      <c r="AC10" s="410">
        <f>AC8+AC9</f>
        <v/>
      </c>
      <c r="AD10" s="410">
        <f>AD8+AD9</f>
        <v/>
      </c>
      <c r="AE10" s="410">
        <f>AE8+AE9</f>
        <v/>
      </c>
      <c r="AF10" s="410">
        <f>AF8+AF9</f>
        <v/>
      </c>
      <c r="AG10" s="410">
        <f>AG8+AG9</f>
        <v/>
      </c>
      <c r="AH10" s="410">
        <f>AH8+AH9</f>
        <v/>
      </c>
      <c r="AI10" s="410">
        <f>AI8+AI9</f>
        <v/>
      </c>
      <c r="AJ10" s="410">
        <f>AJ8+AJ9</f>
        <v/>
      </c>
      <c r="AK10" s="410">
        <f>AK8+AK9</f>
        <v/>
      </c>
      <c r="AL10" s="410">
        <f>AL8+AL9</f>
        <v/>
      </c>
      <c r="AM10" s="410">
        <f>AM8+AM9</f>
        <v/>
      </c>
      <c r="AN10" s="324">
        <f>O10</f>
        <v/>
      </c>
      <c r="AO10" s="324">
        <f>AA10</f>
        <v/>
      </c>
      <c r="AP10" s="324">
        <f>AM10</f>
        <v/>
      </c>
      <c r="AQ10" s="410">
        <f>AQ8+AQ9</f>
        <v/>
      </c>
      <c r="AR10" s="410">
        <f>AR8+AR9</f>
        <v/>
      </c>
      <c r="AS10" s="410">
        <f>AS8+AS9</f>
        <v/>
      </c>
      <c r="AT10" s="410">
        <f>AT8+AT9</f>
        <v/>
      </c>
      <c r="AU10" s="410">
        <f>AU8+AU9</f>
        <v/>
      </c>
      <c r="AV10" s="410">
        <f>AV8+AV9</f>
        <v/>
      </c>
      <c r="AW10" s="410">
        <f>AW8+AW9</f>
        <v/>
      </c>
      <c r="AX10" s="410">
        <f>AX8+AX9</f>
        <v/>
      </c>
      <c r="AY10" s="324">
        <f>AT10</f>
        <v/>
      </c>
      <c r="AZ10" s="324">
        <f>AX10</f>
        <v/>
      </c>
    </row>
    <row r="11" ht="15" customHeight="1">
      <c r="B11" s="39" t="n"/>
    </row>
    <row r="12" ht="15" customHeight="1">
      <c r="B12" s="406" t="inlineStr">
        <is>
          <t>B. Umlaufvermögen</t>
        </is>
      </c>
    </row>
    <row r="13" ht="15" customHeight="1">
      <c r="B13" s="314" t="inlineStr">
        <is>
          <t>Kassenbestand / Bank</t>
        </is>
      </c>
      <c r="D13" s="323">
        <f>'Plan-Cashflow'!D25</f>
        <v/>
      </c>
      <c r="E13" s="323">
        <f>'Plan-Cashflow'!E25</f>
        <v/>
      </c>
      <c r="F13" s="323">
        <f>'Plan-Cashflow'!F25</f>
        <v/>
      </c>
      <c r="G13" s="323">
        <f>'Plan-Cashflow'!G25</f>
        <v/>
      </c>
      <c r="H13" s="323">
        <f>'Plan-Cashflow'!H25</f>
        <v/>
      </c>
      <c r="I13" s="323">
        <f>'Plan-Cashflow'!I25</f>
        <v/>
      </c>
      <c r="J13" s="323">
        <f>'Plan-Cashflow'!J25</f>
        <v/>
      </c>
      <c r="K13" s="323">
        <f>'Plan-Cashflow'!K25</f>
        <v/>
      </c>
      <c r="L13" s="323">
        <f>'Plan-Cashflow'!L25</f>
        <v/>
      </c>
      <c r="M13" s="323">
        <f>'Plan-Cashflow'!M25</f>
        <v/>
      </c>
      <c r="N13" s="323">
        <f>'Plan-Cashflow'!N25</f>
        <v/>
      </c>
      <c r="O13" s="323">
        <f>'Plan-Cashflow'!O25</f>
        <v/>
      </c>
      <c r="P13" s="323">
        <f>'Plan-Cashflow'!P25</f>
        <v/>
      </c>
      <c r="Q13" s="323">
        <f>'Plan-Cashflow'!Q25</f>
        <v/>
      </c>
      <c r="R13" s="323">
        <f>'Plan-Cashflow'!R25</f>
        <v/>
      </c>
      <c r="S13" s="323">
        <f>'Plan-Cashflow'!S25</f>
        <v/>
      </c>
      <c r="T13" s="323">
        <f>'Plan-Cashflow'!T25</f>
        <v/>
      </c>
      <c r="U13" s="323">
        <f>'Plan-Cashflow'!U25</f>
        <v/>
      </c>
      <c r="V13" s="323">
        <f>'Plan-Cashflow'!V25</f>
        <v/>
      </c>
      <c r="W13" s="323">
        <f>'Plan-Cashflow'!W25</f>
        <v/>
      </c>
      <c r="X13" s="323">
        <f>'Plan-Cashflow'!X25</f>
        <v/>
      </c>
      <c r="Y13" s="323">
        <f>'Plan-Cashflow'!Y25</f>
        <v/>
      </c>
      <c r="Z13" s="323">
        <f>'Plan-Cashflow'!Z25</f>
        <v/>
      </c>
      <c r="AA13" s="323">
        <f>'Plan-Cashflow'!AA25</f>
        <v/>
      </c>
      <c r="AB13" s="323">
        <f>'Plan-Cashflow'!AB25</f>
        <v/>
      </c>
      <c r="AC13" s="323">
        <f>'Plan-Cashflow'!AC25</f>
        <v/>
      </c>
      <c r="AD13" s="323">
        <f>'Plan-Cashflow'!AD25</f>
        <v/>
      </c>
      <c r="AE13" s="323">
        <f>'Plan-Cashflow'!AE25</f>
        <v/>
      </c>
      <c r="AF13" s="323">
        <f>'Plan-Cashflow'!AF25</f>
        <v/>
      </c>
      <c r="AG13" s="323">
        <f>'Plan-Cashflow'!AG25</f>
        <v/>
      </c>
      <c r="AH13" s="323">
        <f>'Plan-Cashflow'!AH25</f>
        <v/>
      </c>
      <c r="AI13" s="323">
        <f>'Plan-Cashflow'!AI25</f>
        <v/>
      </c>
      <c r="AJ13" s="323">
        <f>'Plan-Cashflow'!AJ25</f>
        <v/>
      </c>
      <c r="AK13" s="323">
        <f>'Plan-Cashflow'!AK25</f>
        <v/>
      </c>
      <c r="AL13" s="323">
        <f>'Plan-Cashflow'!AL25</f>
        <v/>
      </c>
      <c r="AM13" s="323">
        <f>'Plan-Cashflow'!AM25</f>
        <v/>
      </c>
      <c r="AN13" s="324">
        <f>O13</f>
        <v/>
      </c>
      <c r="AO13" s="324">
        <f>AA13</f>
        <v/>
      </c>
      <c r="AP13" s="324">
        <f>AM13</f>
        <v/>
      </c>
      <c r="AQ13" s="323">
        <f>'Plan-Cashflow'!AQ25</f>
        <v/>
      </c>
      <c r="AR13" s="323">
        <f>'Plan-Cashflow'!AR25</f>
        <v/>
      </c>
      <c r="AS13" s="323">
        <f>'Plan-Cashflow'!AS25</f>
        <v/>
      </c>
      <c r="AT13" s="323">
        <f>'Plan-Cashflow'!AT25</f>
        <v/>
      </c>
      <c r="AU13" s="323">
        <f>'Plan-Cashflow'!AU25</f>
        <v/>
      </c>
      <c r="AV13" s="323">
        <f>'Plan-Cashflow'!AV25</f>
        <v/>
      </c>
      <c r="AW13" s="323">
        <f>'Plan-Cashflow'!AW25</f>
        <v/>
      </c>
      <c r="AX13" s="323">
        <f>'Plan-Cashflow'!AX25</f>
        <v/>
      </c>
      <c r="AY13" s="324">
        <f>AT13</f>
        <v/>
      </c>
      <c r="AZ13" s="324">
        <f>AX13</f>
        <v/>
      </c>
    </row>
    <row r="14" ht="15" customHeight="1">
      <c r="B14" s="406" t="inlineStr">
        <is>
          <t>Forderungen (30 Tage Umsatz)</t>
        </is>
      </c>
      <c r="D14" s="410">
        <f>'Plan-GuV'!D11</f>
        <v/>
      </c>
      <c r="E14" s="410">
        <f>'Plan-GuV'!E11</f>
        <v/>
      </c>
      <c r="F14" s="410">
        <f>'Plan-GuV'!F11</f>
        <v/>
      </c>
      <c r="G14" s="410">
        <f>'Plan-GuV'!G11</f>
        <v/>
      </c>
      <c r="H14" s="410">
        <f>'Plan-GuV'!H11</f>
        <v/>
      </c>
      <c r="I14" s="410">
        <f>'Plan-GuV'!I11</f>
        <v/>
      </c>
      <c r="J14" s="410">
        <f>'Plan-GuV'!J11</f>
        <v/>
      </c>
      <c r="K14" s="410">
        <f>'Plan-GuV'!K11</f>
        <v/>
      </c>
      <c r="L14" s="410">
        <f>'Plan-GuV'!L11</f>
        <v/>
      </c>
      <c r="M14" s="410">
        <f>'Plan-GuV'!M11</f>
        <v/>
      </c>
      <c r="N14" s="410">
        <f>'Plan-GuV'!N11</f>
        <v/>
      </c>
      <c r="O14" s="410">
        <f>'Plan-GuV'!O11</f>
        <v/>
      </c>
      <c r="P14" s="410">
        <f>'Plan-GuV'!P11</f>
        <v/>
      </c>
      <c r="Q14" s="410">
        <f>'Plan-GuV'!Q11</f>
        <v/>
      </c>
      <c r="R14" s="410">
        <f>'Plan-GuV'!R11</f>
        <v/>
      </c>
      <c r="S14" s="410">
        <f>'Plan-GuV'!S11</f>
        <v/>
      </c>
      <c r="T14" s="410">
        <f>'Plan-GuV'!T11</f>
        <v/>
      </c>
      <c r="U14" s="410">
        <f>'Plan-GuV'!U11</f>
        <v/>
      </c>
      <c r="V14" s="410">
        <f>'Plan-GuV'!V11</f>
        <v/>
      </c>
      <c r="W14" s="410">
        <f>'Plan-GuV'!W11</f>
        <v/>
      </c>
      <c r="X14" s="410">
        <f>'Plan-GuV'!X11</f>
        <v/>
      </c>
      <c r="Y14" s="410">
        <f>'Plan-GuV'!Y11</f>
        <v/>
      </c>
      <c r="Z14" s="410">
        <f>'Plan-GuV'!Z11</f>
        <v/>
      </c>
      <c r="AA14" s="410">
        <f>'Plan-GuV'!AA11</f>
        <v/>
      </c>
      <c r="AB14" s="410">
        <f>'Plan-GuV'!AB11</f>
        <v/>
      </c>
      <c r="AC14" s="410">
        <f>'Plan-GuV'!AC11</f>
        <v/>
      </c>
      <c r="AD14" s="410">
        <f>'Plan-GuV'!AD11</f>
        <v/>
      </c>
      <c r="AE14" s="410">
        <f>'Plan-GuV'!AE11</f>
        <v/>
      </c>
      <c r="AF14" s="410">
        <f>'Plan-GuV'!AF11</f>
        <v/>
      </c>
      <c r="AG14" s="410">
        <f>'Plan-GuV'!AG11</f>
        <v/>
      </c>
      <c r="AH14" s="410">
        <f>'Plan-GuV'!AH11</f>
        <v/>
      </c>
      <c r="AI14" s="410">
        <f>'Plan-GuV'!AI11</f>
        <v/>
      </c>
      <c r="AJ14" s="410">
        <f>'Plan-GuV'!AJ11</f>
        <v/>
      </c>
      <c r="AK14" s="410">
        <f>'Plan-GuV'!AK11</f>
        <v/>
      </c>
      <c r="AL14" s="410">
        <f>'Plan-GuV'!AL11</f>
        <v/>
      </c>
      <c r="AM14" s="410">
        <f>'Plan-GuV'!AM11</f>
        <v/>
      </c>
      <c r="AN14" s="324">
        <f>O14</f>
        <v/>
      </c>
      <c r="AO14" s="324">
        <f>AA14</f>
        <v/>
      </c>
      <c r="AP14" s="324">
        <f>AM14</f>
        <v/>
      </c>
      <c r="AQ14" s="410">
        <f>'Plan-GuV'!AQ11/3</f>
        <v/>
      </c>
      <c r="AR14" s="410">
        <f>'Plan-GuV'!AR11/3</f>
        <v/>
      </c>
      <c r="AS14" s="410">
        <f>'Plan-GuV'!AS11/3</f>
        <v/>
      </c>
      <c r="AT14" s="410">
        <f>'Plan-GuV'!AT11/3</f>
        <v/>
      </c>
      <c r="AU14" s="410">
        <f>'Plan-GuV'!AU11/3</f>
        <v/>
      </c>
      <c r="AV14" s="410">
        <f>'Plan-GuV'!AV11/3</f>
        <v/>
      </c>
      <c r="AW14" s="410">
        <f>'Plan-GuV'!AW11/3</f>
        <v/>
      </c>
      <c r="AX14" s="410">
        <f>'Plan-GuV'!AX11/3</f>
        <v/>
      </c>
      <c r="AY14" s="324">
        <f>AT14</f>
        <v/>
      </c>
      <c r="AZ14" s="324">
        <f>AX14</f>
        <v/>
      </c>
    </row>
    <row r="15" ht="15" customHeight="1">
      <c r="B15" s="314" t="inlineStr">
        <is>
          <t>Vorräte (30 Tage COGS)</t>
        </is>
      </c>
      <c r="D15" s="323">
        <f>-'Plan-GuV'!D19</f>
        <v/>
      </c>
      <c r="E15" s="323">
        <f>-'Plan-GuV'!E19</f>
        <v/>
      </c>
      <c r="F15" s="323">
        <f>-'Plan-GuV'!F19</f>
        <v/>
      </c>
      <c r="G15" s="323">
        <f>-'Plan-GuV'!G19</f>
        <v/>
      </c>
      <c r="H15" s="323">
        <f>-'Plan-GuV'!H19</f>
        <v/>
      </c>
      <c r="I15" s="323">
        <f>-'Plan-GuV'!I19</f>
        <v/>
      </c>
      <c r="J15" s="323">
        <f>-'Plan-GuV'!J19</f>
        <v/>
      </c>
      <c r="K15" s="323">
        <f>-'Plan-GuV'!K19</f>
        <v/>
      </c>
      <c r="L15" s="323">
        <f>-'Plan-GuV'!L19</f>
        <v/>
      </c>
      <c r="M15" s="323">
        <f>-'Plan-GuV'!M19</f>
        <v/>
      </c>
      <c r="N15" s="323">
        <f>-'Plan-GuV'!N19</f>
        <v/>
      </c>
      <c r="O15" s="323">
        <f>-'Plan-GuV'!O19</f>
        <v/>
      </c>
      <c r="P15" s="323">
        <f>-'Plan-GuV'!P19</f>
        <v/>
      </c>
      <c r="Q15" s="323">
        <f>-'Plan-GuV'!Q19</f>
        <v/>
      </c>
      <c r="R15" s="323">
        <f>-'Plan-GuV'!R19</f>
        <v/>
      </c>
      <c r="S15" s="323">
        <f>-'Plan-GuV'!S19</f>
        <v/>
      </c>
      <c r="T15" s="323">
        <f>-'Plan-GuV'!T19</f>
        <v/>
      </c>
      <c r="U15" s="323">
        <f>-'Plan-GuV'!U19</f>
        <v/>
      </c>
      <c r="V15" s="323">
        <f>-'Plan-GuV'!V19</f>
        <v/>
      </c>
      <c r="W15" s="323">
        <f>-'Plan-GuV'!W19</f>
        <v/>
      </c>
      <c r="X15" s="323">
        <f>-'Plan-GuV'!X19</f>
        <v/>
      </c>
      <c r="Y15" s="323">
        <f>-'Plan-GuV'!Y19</f>
        <v/>
      </c>
      <c r="Z15" s="323">
        <f>-'Plan-GuV'!Z19</f>
        <v/>
      </c>
      <c r="AA15" s="323">
        <f>-'Plan-GuV'!AA19</f>
        <v/>
      </c>
      <c r="AB15" s="323">
        <f>-'Plan-GuV'!AB19</f>
        <v/>
      </c>
      <c r="AC15" s="323">
        <f>-'Plan-GuV'!AC19</f>
        <v/>
      </c>
      <c r="AD15" s="323">
        <f>-'Plan-GuV'!AD19</f>
        <v/>
      </c>
      <c r="AE15" s="323">
        <f>-'Plan-GuV'!AE19</f>
        <v/>
      </c>
      <c r="AF15" s="323">
        <f>-'Plan-GuV'!AF19</f>
        <v/>
      </c>
      <c r="AG15" s="323">
        <f>-'Plan-GuV'!AG19</f>
        <v/>
      </c>
      <c r="AH15" s="323">
        <f>-'Plan-GuV'!AH19</f>
        <v/>
      </c>
      <c r="AI15" s="323">
        <f>-'Plan-GuV'!AI19</f>
        <v/>
      </c>
      <c r="AJ15" s="323">
        <f>-'Plan-GuV'!AJ19</f>
        <v/>
      </c>
      <c r="AK15" s="323">
        <f>-'Plan-GuV'!AK19</f>
        <v/>
      </c>
      <c r="AL15" s="323">
        <f>-'Plan-GuV'!AL19</f>
        <v/>
      </c>
      <c r="AM15" s="323">
        <f>-'Plan-GuV'!AM19</f>
        <v/>
      </c>
      <c r="AN15" s="324">
        <f>O15</f>
        <v/>
      </c>
      <c r="AO15" s="324">
        <f>AA15</f>
        <v/>
      </c>
      <c r="AP15" s="324">
        <f>AM15</f>
        <v/>
      </c>
      <c r="AQ15" s="323">
        <f>-'Plan-GuV'!AQ19/3</f>
        <v/>
      </c>
      <c r="AR15" s="323">
        <f>-'Plan-GuV'!AR19/3</f>
        <v/>
      </c>
      <c r="AS15" s="323">
        <f>-'Plan-GuV'!AS19/3</f>
        <v/>
      </c>
      <c r="AT15" s="323">
        <f>-'Plan-GuV'!AT19/3</f>
        <v/>
      </c>
      <c r="AU15" s="323">
        <f>-'Plan-GuV'!AU19/3</f>
        <v/>
      </c>
      <c r="AV15" s="323">
        <f>-'Plan-GuV'!AV19/3</f>
        <v/>
      </c>
      <c r="AW15" s="323">
        <f>-'Plan-GuV'!AW19/3</f>
        <v/>
      </c>
      <c r="AX15" s="323">
        <f>-'Plan-GuV'!AX19/3</f>
        <v/>
      </c>
      <c r="AY15" s="324">
        <f>AT15</f>
        <v/>
      </c>
      <c r="AZ15" s="324">
        <f>AX15</f>
        <v/>
      </c>
    </row>
    <row r="16" ht="15" customHeight="1">
      <c r="B16" s="406" t="inlineStr">
        <is>
          <t>SUMME UMLAUFVERMÖGEN</t>
        </is>
      </c>
      <c r="D16" s="410">
        <f>D13+D14+D15</f>
        <v/>
      </c>
      <c r="E16" s="410">
        <f>E13+E14+E15</f>
        <v/>
      </c>
      <c r="F16" s="410">
        <f>F13+F14+F15</f>
        <v/>
      </c>
      <c r="G16" s="410">
        <f>G13+G14+G15</f>
        <v/>
      </c>
      <c r="H16" s="410">
        <f>H13+H14+H15</f>
        <v/>
      </c>
      <c r="I16" s="410">
        <f>I13+I14+I15</f>
        <v/>
      </c>
      <c r="J16" s="410">
        <f>J13+J14+J15</f>
        <v/>
      </c>
      <c r="K16" s="410">
        <f>K13+K14+K15</f>
        <v/>
      </c>
      <c r="L16" s="410">
        <f>L13+L14+L15</f>
        <v/>
      </c>
      <c r="M16" s="410">
        <f>M13+M14+M15</f>
        <v/>
      </c>
      <c r="N16" s="410">
        <f>N13+N14+N15</f>
        <v/>
      </c>
      <c r="O16" s="410">
        <f>O13+O14+O15</f>
        <v/>
      </c>
      <c r="P16" s="410">
        <f>P13+P14+P15</f>
        <v/>
      </c>
      <c r="Q16" s="410">
        <f>Q13+Q14+Q15</f>
        <v/>
      </c>
      <c r="R16" s="410">
        <f>R13+R14+R15</f>
        <v/>
      </c>
      <c r="S16" s="410">
        <f>S13+S14+S15</f>
        <v/>
      </c>
      <c r="T16" s="410">
        <f>T13+T14+T15</f>
        <v/>
      </c>
      <c r="U16" s="410">
        <f>U13+U14+U15</f>
        <v/>
      </c>
      <c r="V16" s="410">
        <f>V13+V14+V15</f>
        <v/>
      </c>
      <c r="W16" s="410">
        <f>W13+W14+W15</f>
        <v/>
      </c>
      <c r="X16" s="410">
        <f>X13+X14+X15</f>
        <v/>
      </c>
      <c r="Y16" s="410">
        <f>Y13+Y14+Y15</f>
        <v/>
      </c>
      <c r="Z16" s="410">
        <f>Z13+Z14+Z15</f>
        <v/>
      </c>
      <c r="AA16" s="410">
        <f>AA13+AA14+AA15</f>
        <v/>
      </c>
      <c r="AB16" s="410">
        <f>AB13+AB14+AB15</f>
        <v/>
      </c>
      <c r="AC16" s="410">
        <f>AC13+AC14+AC15</f>
        <v/>
      </c>
      <c r="AD16" s="410">
        <f>AD13+AD14+AD15</f>
        <v/>
      </c>
      <c r="AE16" s="410">
        <f>AE13+AE14+AE15</f>
        <v/>
      </c>
      <c r="AF16" s="410">
        <f>AF13+AF14+AF15</f>
        <v/>
      </c>
      <c r="AG16" s="410">
        <f>AG13+AG14+AG15</f>
        <v/>
      </c>
      <c r="AH16" s="410">
        <f>AH13+AH14+AH15</f>
        <v/>
      </c>
      <c r="AI16" s="410">
        <f>AI13+AI14+AI15</f>
        <v/>
      </c>
      <c r="AJ16" s="410">
        <f>AJ13+AJ14+AJ15</f>
        <v/>
      </c>
      <c r="AK16" s="410">
        <f>AK13+AK14+AK15</f>
        <v/>
      </c>
      <c r="AL16" s="410">
        <f>AL13+AL14+AL15</f>
        <v/>
      </c>
      <c r="AM16" s="410">
        <f>AM13+AM14+AM15</f>
        <v/>
      </c>
      <c r="AN16" s="324">
        <f>O16</f>
        <v/>
      </c>
      <c r="AO16" s="324">
        <f>AA16</f>
        <v/>
      </c>
      <c r="AP16" s="324">
        <f>AM16</f>
        <v/>
      </c>
      <c r="AQ16" s="410">
        <f>AQ13+AQ14+AQ15</f>
        <v/>
      </c>
      <c r="AR16" s="410">
        <f>AR13+AR14+AR15</f>
        <v/>
      </c>
      <c r="AS16" s="410">
        <f>AS13+AS14+AS15</f>
        <v/>
      </c>
      <c r="AT16" s="410">
        <f>AT13+AT14+AT15</f>
        <v/>
      </c>
      <c r="AU16" s="410">
        <f>AU13+AU14+AU15</f>
        <v/>
      </c>
      <c r="AV16" s="410">
        <f>AV13+AV14+AV15</f>
        <v/>
      </c>
      <c r="AW16" s="410">
        <f>AW13+AW14+AW15</f>
        <v/>
      </c>
      <c r="AX16" s="410">
        <f>AX13+AX14+AX15</f>
        <v/>
      </c>
      <c r="AY16" s="324">
        <f>AT16</f>
        <v/>
      </c>
      <c r="AZ16" s="324">
        <f>AX16</f>
        <v/>
      </c>
    </row>
    <row r="17" ht="15" customHeight="1">
      <c r="B17" s="39" t="n"/>
    </row>
    <row r="18" ht="15" customHeight="1">
      <c r="B18" s="325" t="inlineStr">
        <is>
          <t>SUMME AKTIVA</t>
        </is>
      </c>
      <c r="C18" s="43" t="n"/>
      <c r="D18" s="324">
        <f>D10+D16</f>
        <v/>
      </c>
      <c r="E18" s="324">
        <f>E10+E16</f>
        <v/>
      </c>
      <c r="F18" s="324">
        <f>F10+F16</f>
        <v/>
      </c>
      <c r="G18" s="324">
        <f>G10+G16</f>
        <v/>
      </c>
      <c r="H18" s="324">
        <f>H10+H16</f>
        <v/>
      </c>
      <c r="I18" s="324">
        <f>I10+I16</f>
        <v/>
      </c>
      <c r="J18" s="324">
        <f>J10+J16</f>
        <v/>
      </c>
      <c r="K18" s="324">
        <f>K10+K16</f>
        <v/>
      </c>
      <c r="L18" s="324">
        <f>L10+L16</f>
        <v/>
      </c>
      <c r="M18" s="324">
        <f>M10+M16</f>
        <v/>
      </c>
      <c r="N18" s="324">
        <f>N10+N16</f>
        <v/>
      </c>
      <c r="O18" s="324">
        <f>O10+O16</f>
        <v/>
      </c>
      <c r="P18" s="324">
        <f>P10+P16</f>
        <v/>
      </c>
      <c r="Q18" s="324">
        <f>Q10+Q16</f>
        <v/>
      </c>
      <c r="R18" s="324">
        <f>R10+R16</f>
        <v/>
      </c>
      <c r="S18" s="324">
        <f>S10+S16</f>
        <v/>
      </c>
      <c r="T18" s="324">
        <f>T10+T16</f>
        <v/>
      </c>
      <c r="U18" s="324">
        <f>U10+U16</f>
        <v/>
      </c>
      <c r="V18" s="324">
        <f>V10+V16</f>
        <v/>
      </c>
      <c r="W18" s="324">
        <f>W10+W16</f>
        <v/>
      </c>
      <c r="X18" s="324">
        <f>X10+X16</f>
        <v/>
      </c>
      <c r="Y18" s="324">
        <f>Y10+Y16</f>
        <v/>
      </c>
      <c r="Z18" s="324">
        <f>Z10+Z16</f>
        <v/>
      </c>
      <c r="AA18" s="324">
        <f>AA10+AA16</f>
        <v/>
      </c>
      <c r="AB18" s="324">
        <f>AB10+AB16</f>
        <v/>
      </c>
      <c r="AC18" s="324">
        <f>AC10+AC16</f>
        <v/>
      </c>
      <c r="AD18" s="324">
        <f>AD10+AD16</f>
        <v/>
      </c>
      <c r="AE18" s="324">
        <f>AE10+AE16</f>
        <v/>
      </c>
      <c r="AF18" s="324">
        <f>AF10+AF16</f>
        <v/>
      </c>
      <c r="AG18" s="324">
        <f>AG10+AG16</f>
        <v/>
      </c>
      <c r="AH18" s="324">
        <f>AH10+AH16</f>
        <v/>
      </c>
      <c r="AI18" s="324">
        <f>AI10+AI16</f>
        <v/>
      </c>
      <c r="AJ18" s="324">
        <f>AJ10+AJ16</f>
        <v/>
      </c>
      <c r="AK18" s="324">
        <f>AK10+AK16</f>
        <v/>
      </c>
      <c r="AL18" s="324">
        <f>AL10+AL16</f>
        <v/>
      </c>
      <c r="AM18" s="324">
        <f>AM10+AM16</f>
        <v/>
      </c>
      <c r="AN18" s="324">
        <f>O18</f>
        <v/>
      </c>
      <c r="AO18" s="324">
        <f>AA18</f>
        <v/>
      </c>
      <c r="AP18" s="324">
        <f>AM18</f>
        <v/>
      </c>
      <c r="AQ18" s="324">
        <f>AQ10+AQ16</f>
        <v/>
      </c>
      <c r="AR18" s="324">
        <f>AR10+AR16</f>
        <v/>
      </c>
      <c r="AS18" s="324">
        <f>AS10+AS16</f>
        <v/>
      </c>
      <c r="AT18" s="324">
        <f>AT10+AT16</f>
        <v/>
      </c>
      <c r="AU18" s="324">
        <f>AU10+AU16</f>
        <v/>
      </c>
      <c r="AV18" s="324">
        <f>AV10+AV16</f>
        <v/>
      </c>
      <c r="AW18" s="324">
        <f>AW10+AW16</f>
        <v/>
      </c>
      <c r="AX18" s="324">
        <f>AX10+AX16</f>
        <v/>
      </c>
      <c r="AY18" s="324">
        <f>AT18</f>
        <v/>
      </c>
      <c r="AZ18" s="324">
        <f>AX18</f>
        <v/>
      </c>
    </row>
    <row r="19" ht="15" customHeight="1">
      <c r="B19" s="39" t="n"/>
    </row>
    <row r="20" ht="15" customHeight="1">
      <c r="B20" s="406" t="inlineStr">
        <is>
          <t>PASSIVA (Equity &amp; Liabilities)</t>
        </is>
      </c>
    </row>
    <row r="21" ht="15" customHeight="1">
      <c r="B21" s="39" t="n"/>
    </row>
    <row r="22" ht="15" customHeight="1">
      <c r="B22" s="406" t="inlineStr">
        <is>
          <t>C. Eigenkapital</t>
        </is>
      </c>
    </row>
    <row r="23" ht="15" customHeight="1">
      <c r="B23" s="314" t="inlineStr">
        <is>
          <t>Gezeichnetes Kapital</t>
        </is>
      </c>
      <c r="D23" s="323">
        <f>Annahmen!$C$42*CAPEX!$C$20</f>
        <v/>
      </c>
      <c r="E23" s="323">
        <f>Annahmen!$C$42*CAPEX!$C$20</f>
        <v/>
      </c>
      <c r="F23" s="323">
        <f>Annahmen!$C$42*CAPEX!$C$20</f>
        <v/>
      </c>
      <c r="G23" s="323">
        <f>Annahmen!$C$42*CAPEX!$C$20</f>
        <v/>
      </c>
      <c r="H23" s="323">
        <f>Annahmen!$C$42*CAPEX!$C$20</f>
        <v/>
      </c>
      <c r="I23" s="323">
        <f>Annahmen!$C$42*CAPEX!$C$20</f>
        <v/>
      </c>
      <c r="J23" s="323">
        <f>Annahmen!$C$42*CAPEX!$C$20</f>
        <v/>
      </c>
      <c r="K23" s="323">
        <f>Annahmen!$C$42*CAPEX!$C$20</f>
        <v/>
      </c>
      <c r="L23" s="323">
        <f>Annahmen!$C$42*CAPEX!$C$20</f>
        <v/>
      </c>
      <c r="M23" s="323">
        <f>Annahmen!$C$42*CAPEX!$C$20</f>
        <v/>
      </c>
      <c r="N23" s="323">
        <f>Annahmen!$C$42*CAPEX!$C$20</f>
        <v/>
      </c>
      <c r="O23" s="323">
        <f>Annahmen!$C$42*CAPEX!$C$20</f>
        <v/>
      </c>
      <c r="P23" s="323">
        <f>Annahmen!$C$42*CAPEX!$C$20</f>
        <v/>
      </c>
      <c r="Q23" s="323">
        <f>Annahmen!$C$42*CAPEX!$C$20</f>
        <v/>
      </c>
      <c r="R23" s="323">
        <f>Annahmen!$C$42*CAPEX!$C$20</f>
        <v/>
      </c>
      <c r="S23" s="323">
        <f>Annahmen!$C$42*CAPEX!$C$20</f>
        <v/>
      </c>
      <c r="T23" s="323">
        <f>Annahmen!$C$42*CAPEX!$C$20</f>
        <v/>
      </c>
      <c r="U23" s="323">
        <f>Annahmen!$C$42*CAPEX!$C$20</f>
        <v/>
      </c>
      <c r="V23" s="323">
        <f>Annahmen!$C$42*CAPEX!$C$20</f>
        <v/>
      </c>
      <c r="W23" s="323">
        <f>Annahmen!$C$42*CAPEX!$C$20</f>
        <v/>
      </c>
      <c r="X23" s="323">
        <f>Annahmen!$C$42*CAPEX!$C$20</f>
        <v/>
      </c>
      <c r="Y23" s="323">
        <f>Annahmen!$C$42*CAPEX!$C$20</f>
        <v/>
      </c>
      <c r="Z23" s="323">
        <f>Annahmen!$C$42*CAPEX!$C$20</f>
        <v/>
      </c>
      <c r="AA23" s="323">
        <f>Annahmen!$C$42*CAPEX!$C$20</f>
        <v/>
      </c>
      <c r="AB23" s="323">
        <f>Annahmen!$C$42*CAPEX!$C$20</f>
        <v/>
      </c>
      <c r="AC23" s="323">
        <f>Annahmen!$C$42*CAPEX!$C$20</f>
        <v/>
      </c>
      <c r="AD23" s="323">
        <f>Annahmen!$C$42*CAPEX!$C$20</f>
        <v/>
      </c>
      <c r="AE23" s="323">
        <f>Annahmen!$C$42*CAPEX!$C$20</f>
        <v/>
      </c>
      <c r="AF23" s="323">
        <f>Annahmen!$C$42*CAPEX!$C$20</f>
        <v/>
      </c>
      <c r="AG23" s="323">
        <f>Annahmen!$C$42*CAPEX!$C$20</f>
        <v/>
      </c>
      <c r="AH23" s="323">
        <f>Annahmen!$C$42*CAPEX!$C$20</f>
        <v/>
      </c>
      <c r="AI23" s="323">
        <f>Annahmen!$C$42*CAPEX!$C$20</f>
        <v/>
      </c>
      <c r="AJ23" s="323">
        <f>Annahmen!$C$42*CAPEX!$C$20</f>
        <v/>
      </c>
      <c r="AK23" s="323">
        <f>Annahmen!$C$42*CAPEX!$C$20</f>
        <v/>
      </c>
      <c r="AL23" s="323">
        <f>Annahmen!$C$42*CAPEX!$C$20</f>
        <v/>
      </c>
      <c r="AM23" s="323">
        <f>Annahmen!$C$42*CAPEX!$C$20</f>
        <v/>
      </c>
      <c r="AN23" s="324">
        <f>O23</f>
        <v/>
      </c>
      <c r="AO23" s="324">
        <f>AA23</f>
        <v/>
      </c>
      <c r="AP23" s="324">
        <f>AM23</f>
        <v/>
      </c>
      <c r="AQ23" s="323">
        <f>Annahmen!$C$42*CAPEX!$C$20</f>
        <v/>
      </c>
      <c r="AR23" s="323">
        <f>Annahmen!$C$42*CAPEX!$C$20</f>
        <v/>
      </c>
      <c r="AS23" s="323">
        <f>Annahmen!$C$42*CAPEX!$C$20</f>
        <v/>
      </c>
      <c r="AT23" s="323">
        <f>Annahmen!$C$42*CAPEX!$C$20</f>
        <v/>
      </c>
      <c r="AU23" s="323">
        <f>Annahmen!$C$42*CAPEX!$C$20</f>
        <v/>
      </c>
      <c r="AV23" s="323">
        <f>Annahmen!$C$42*CAPEX!$C$20</f>
        <v/>
      </c>
      <c r="AW23" s="323">
        <f>Annahmen!$C$42*CAPEX!$C$20</f>
        <v/>
      </c>
      <c r="AX23" s="323">
        <f>Annahmen!$C$42*CAPEX!$C$20</f>
        <v/>
      </c>
      <c r="AY23" s="324">
        <f>AT23</f>
        <v/>
      </c>
      <c r="AZ23" s="324">
        <f>AX23</f>
        <v/>
      </c>
    </row>
    <row r="24" ht="15" customHeight="1">
      <c r="B24" s="406" t="inlineStr">
        <is>
          <t>Kapitalrücklage (Fördermittel)</t>
        </is>
      </c>
      <c r="D24" s="410">
        <f>Annahmen!$C$44*CAPEX!$C$20</f>
        <v/>
      </c>
      <c r="E24" s="410">
        <f>Annahmen!$C$44*CAPEX!$C$20</f>
        <v/>
      </c>
      <c r="F24" s="410">
        <f>Annahmen!$C$44*CAPEX!$C$20</f>
        <v/>
      </c>
      <c r="G24" s="410">
        <f>Annahmen!$C$44*CAPEX!$C$20</f>
        <v/>
      </c>
      <c r="H24" s="410">
        <f>Annahmen!$C$44*CAPEX!$C$20</f>
        <v/>
      </c>
      <c r="I24" s="410">
        <f>Annahmen!$C$44*CAPEX!$C$20</f>
        <v/>
      </c>
      <c r="J24" s="410">
        <f>Annahmen!$C$44*CAPEX!$C$20</f>
        <v/>
      </c>
      <c r="K24" s="410">
        <f>Annahmen!$C$44*CAPEX!$C$20</f>
        <v/>
      </c>
      <c r="L24" s="410">
        <f>Annahmen!$C$44*CAPEX!$C$20</f>
        <v/>
      </c>
      <c r="M24" s="410">
        <f>Annahmen!$C$44*CAPEX!$C$20</f>
        <v/>
      </c>
      <c r="N24" s="410">
        <f>Annahmen!$C$44*CAPEX!$C$20</f>
        <v/>
      </c>
      <c r="O24" s="410">
        <f>Annahmen!$C$44*CAPEX!$C$20</f>
        <v/>
      </c>
      <c r="P24" s="410">
        <f>Annahmen!$C$44*CAPEX!$C$20</f>
        <v/>
      </c>
      <c r="Q24" s="410">
        <f>Annahmen!$C$44*CAPEX!$C$20</f>
        <v/>
      </c>
      <c r="R24" s="410">
        <f>Annahmen!$C$44*CAPEX!$C$20</f>
        <v/>
      </c>
      <c r="S24" s="410">
        <f>Annahmen!$C$44*CAPEX!$C$20</f>
        <v/>
      </c>
      <c r="T24" s="410">
        <f>Annahmen!$C$44*CAPEX!$C$20</f>
        <v/>
      </c>
      <c r="U24" s="410">
        <f>Annahmen!$C$44*CAPEX!$C$20</f>
        <v/>
      </c>
      <c r="V24" s="410">
        <f>Annahmen!$C$44*CAPEX!$C$20</f>
        <v/>
      </c>
      <c r="W24" s="410">
        <f>Annahmen!$C$44*CAPEX!$C$20</f>
        <v/>
      </c>
      <c r="X24" s="410">
        <f>Annahmen!$C$44*CAPEX!$C$20</f>
        <v/>
      </c>
      <c r="Y24" s="410">
        <f>Annahmen!$C$44*CAPEX!$C$20</f>
        <v/>
      </c>
      <c r="Z24" s="410">
        <f>Annahmen!$C$44*CAPEX!$C$20</f>
        <v/>
      </c>
      <c r="AA24" s="410">
        <f>Annahmen!$C$44*CAPEX!$C$20</f>
        <v/>
      </c>
      <c r="AB24" s="410">
        <f>Annahmen!$C$44*CAPEX!$C$20</f>
        <v/>
      </c>
      <c r="AC24" s="410">
        <f>Annahmen!$C$44*CAPEX!$C$20</f>
        <v/>
      </c>
      <c r="AD24" s="410">
        <f>Annahmen!$C$44*CAPEX!$C$20</f>
        <v/>
      </c>
      <c r="AE24" s="410">
        <f>Annahmen!$C$44*CAPEX!$C$20</f>
        <v/>
      </c>
      <c r="AF24" s="410">
        <f>Annahmen!$C$44*CAPEX!$C$20</f>
        <v/>
      </c>
      <c r="AG24" s="410">
        <f>Annahmen!$C$44*CAPEX!$C$20</f>
        <v/>
      </c>
      <c r="AH24" s="410">
        <f>Annahmen!$C$44*CAPEX!$C$20</f>
        <v/>
      </c>
      <c r="AI24" s="410">
        <f>Annahmen!$C$44*CAPEX!$C$20</f>
        <v/>
      </c>
      <c r="AJ24" s="410">
        <f>Annahmen!$C$44*CAPEX!$C$20</f>
        <v/>
      </c>
      <c r="AK24" s="410">
        <f>Annahmen!$C$44*CAPEX!$C$20</f>
        <v/>
      </c>
      <c r="AL24" s="410">
        <f>Annahmen!$C$44*CAPEX!$C$20</f>
        <v/>
      </c>
      <c r="AM24" s="410">
        <f>Annahmen!$C$44*CAPEX!$C$20</f>
        <v/>
      </c>
      <c r="AN24" s="324">
        <f>O24</f>
        <v/>
      </c>
      <c r="AO24" s="324">
        <f>AA24</f>
        <v/>
      </c>
      <c r="AP24" s="324">
        <f>AM24</f>
        <v/>
      </c>
      <c r="AQ24" s="410">
        <f>Annahmen!$C$44*CAPEX!$C$20</f>
        <v/>
      </c>
      <c r="AR24" s="410">
        <f>Annahmen!$C$44*CAPEX!$C$20</f>
        <v/>
      </c>
      <c r="AS24" s="410">
        <f>Annahmen!$C$44*CAPEX!$C$20</f>
        <v/>
      </c>
      <c r="AT24" s="410">
        <f>Annahmen!$C$44*CAPEX!$C$20</f>
        <v/>
      </c>
      <c r="AU24" s="410">
        <f>Annahmen!$C$44*CAPEX!$C$20</f>
        <v/>
      </c>
      <c r="AV24" s="410">
        <f>Annahmen!$C$44*CAPEX!$C$20</f>
        <v/>
      </c>
      <c r="AW24" s="410">
        <f>Annahmen!$C$44*CAPEX!$C$20</f>
        <v/>
      </c>
      <c r="AX24" s="410">
        <f>Annahmen!$C$44*CAPEX!$C$20</f>
        <v/>
      </c>
      <c r="AY24" s="324">
        <f>AT24</f>
        <v/>
      </c>
      <c r="AZ24" s="324">
        <f>AX24</f>
        <v/>
      </c>
    </row>
    <row r="25" ht="15" customHeight="1">
      <c r="B25" s="314" t="inlineStr">
        <is>
          <t>Gewinnvortrag</t>
        </is>
      </c>
      <c r="D25" s="329" t="n">
        <v>0</v>
      </c>
      <c r="E25" s="323">
        <f>D25+D26</f>
        <v/>
      </c>
      <c r="F25" s="323">
        <f>E25+E26</f>
        <v/>
      </c>
      <c r="G25" s="323">
        <f>F25+F26</f>
        <v/>
      </c>
      <c r="H25" s="323">
        <f>G25+G26</f>
        <v/>
      </c>
      <c r="I25" s="323">
        <f>H25+H26</f>
        <v/>
      </c>
      <c r="J25" s="323">
        <f>I25+I26</f>
        <v/>
      </c>
      <c r="K25" s="323">
        <f>J25+J26</f>
        <v/>
      </c>
      <c r="L25" s="323">
        <f>K25+K26</f>
        <v/>
      </c>
      <c r="M25" s="323">
        <f>L25+L26</f>
        <v/>
      </c>
      <c r="N25" s="323">
        <f>M25+M26</f>
        <v/>
      </c>
      <c r="O25" s="323">
        <f>N25+N26</f>
        <v/>
      </c>
      <c r="P25" s="323">
        <f>O25+O26</f>
        <v/>
      </c>
      <c r="Q25" s="323">
        <f>P25+P26</f>
        <v/>
      </c>
      <c r="R25" s="323">
        <f>Q25+Q26</f>
        <v/>
      </c>
      <c r="S25" s="323">
        <f>R25+R26</f>
        <v/>
      </c>
      <c r="T25" s="323">
        <f>S25+S26</f>
        <v/>
      </c>
      <c r="U25" s="323">
        <f>T25+T26</f>
        <v/>
      </c>
      <c r="V25" s="323">
        <f>U25+U26</f>
        <v/>
      </c>
      <c r="W25" s="323">
        <f>V25+V26</f>
        <v/>
      </c>
      <c r="X25" s="323">
        <f>W25+W26</f>
        <v/>
      </c>
      <c r="Y25" s="323">
        <f>X25+X26</f>
        <v/>
      </c>
      <c r="Z25" s="323">
        <f>Y25+Y26</f>
        <v/>
      </c>
      <c r="AA25" s="323">
        <f>Z25+Z26</f>
        <v/>
      </c>
      <c r="AB25" s="323">
        <f>AA25+AA26</f>
        <v/>
      </c>
      <c r="AC25" s="323">
        <f>AB25+AB26</f>
        <v/>
      </c>
      <c r="AD25" s="323">
        <f>AC25+AC26</f>
        <v/>
      </c>
      <c r="AE25" s="323">
        <f>AD25+AD26</f>
        <v/>
      </c>
      <c r="AF25" s="323">
        <f>AE25+AE26</f>
        <v/>
      </c>
      <c r="AG25" s="323">
        <f>AF25+AF26</f>
        <v/>
      </c>
      <c r="AH25" s="323">
        <f>AG25+AG26</f>
        <v/>
      </c>
      <c r="AI25" s="323">
        <f>AH25+AH26</f>
        <v/>
      </c>
      <c r="AJ25" s="323">
        <f>AI25+AI26</f>
        <v/>
      </c>
      <c r="AK25" s="323">
        <f>AJ25+AJ26</f>
        <v/>
      </c>
      <c r="AL25" s="323">
        <f>AK25+AK26</f>
        <v/>
      </c>
      <c r="AM25" s="323">
        <f>AL25+AL26</f>
        <v/>
      </c>
      <c r="AN25" s="324">
        <f>O25</f>
        <v/>
      </c>
      <c r="AO25" s="324">
        <f>AA25</f>
        <v/>
      </c>
      <c r="AP25" s="324">
        <f>AM25</f>
        <v/>
      </c>
      <c r="AQ25" s="323">
        <f>AM25+AM26</f>
        <v/>
      </c>
      <c r="AR25" s="323">
        <f>AQ25+AQ26</f>
        <v/>
      </c>
      <c r="AS25" s="323">
        <f>AR25+AR26</f>
        <v/>
      </c>
      <c r="AT25" s="323">
        <f>AS25+AS26</f>
        <v/>
      </c>
      <c r="AU25" s="323">
        <f>AT25+AT26</f>
        <v/>
      </c>
      <c r="AV25" s="323">
        <f>AU25+AU26</f>
        <v/>
      </c>
      <c r="AW25" s="323">
        <f>AV25+AV26</f>
        <v/>
      </c>
      <c r="AX25" s="323">
        <f>AW25+AW26</f>
        <v/>
      </c>
      <c r="AY25" s="324">
        <f>AT25</f>
        <v/>
      </c>
      <c r="AZ25" s="324">
        <f>AX25</f>
        <v/>
      </c>
    </row>
    <row r="26" ht="15" customHeight="1">
      <c r="B26" s="406" t="inlineStr">
        <is>
          <t>Jahresüberschuss</t>
        </is>
      </c>
      <c r="D26" s="410">
        <f>'Plan-GuV'!D48</f>
        <v/>
      </c>
      <c r="E26" s="410">
        <f>'Plan-GuV'!E48</f>
        <v/>
      </c>
      <c r="F26" s="410">
        <f>'Plan-GuV'!F48</f>
        <v/>
      </c>
      <c r="G26" s="410">
        <f>'Plan-GuV'!G48</f>
        <v/>
      </c>
      <c r="H26" s="410">
        <f>'Plan-GuV'!H48</f>
        <v/>
      </c>
      <c r="I26" s="410">
        <f>'Plan-GuV'!I48</f>
        <v/>
      </c>
      <c r="J26" s="410">
        <f>'Plan-GuV'!J48</f>
        <v/>
      </c>
      <c r="K26" s="410">
        <f>'Plan-GuV'!K48</f>
        <v/>
      </c>
      <c r="L26" s="410">
        <f>'Plan-GuV'!L48</f>
        <v/>
      </c>
      <c r="M26" s="410">
        <f>'Plan-GuV'!M48</f>
        <v/>
      </c>
      <c r="N26" s="410">
        <f>'Plan-GuV'!N48</f>
        <v/>
      </c>
      <c r="O26" s="410">
        <f>'Plan-GuV'!O48</f>
        <v/>
      </c>
      <c r="P26" s="410">
        <f>'Plan-GuV'!P48</f>
        <v/>
      </c>
      <c r="Q26" s="410">
        <f>'Plan-GuV'!Q48</f>
        <v/>
      </c>
      <c r="R26" s="410">
        <f>'Plan-GuV'!R48</f>
        <v/>
      </c>
      <c r="S26" s="410">
        <f>'Plan-GuV'!S48</f>
        <v/>
      </c>
      <c r="T26" s="410">
        <f>'Plan-GuV'!T48</f>
        <v/>
      </c>
      <c r="U26" s="410">
        <f>'Plan-GuV'!U48</f>
        <v/>
      </c>
      <c r="V26" s="410">
        <f>'Plan-GuV'!V48</f>
        <v/>
      </c>
      <c r="W26" s="410">
        <f>'Plan-GuV'!W48</f>
        <v/>
      </c>
      <c r="X26" s="410">
        <f>'Plan-GuV'!X48</f>
        <v/>
      </c>
      <c r="Y26" s="410">
        <f>'Plan-GuV'!Y48</f>
        <v/>
      </c>
      <c r="Z26" s="410">
        <f>'Plan-GuV'!Z48</f>
        <v/>
      </c>
      <c r="AA26" s="410">
        <f>'Plan-GuV'!AA48</f>
        <v/>
      </c>
      <c r="AB26" s="410">
        <f>'Plan-GuV'!AB48</f>
        <v/>
      </c>
      <c r="AC26" s="410">
        <f>'Plan-GuV'!AC48</f>
        <v/>
      </c>
      <c r="AD26" s="410">
        <f>'Plan-GuV'!AD48</f>
        <v/>
      </c>
      <c r="AE26" s="410">
        <f>'Plan-GuV'!AE48</f>
        <v/>
      </c>
      <c r="AF26" s="410">
        <f>'Plan-GuV'!AF48</f>
        <v/>
      </c>
      <c r="AG26" s="410">
        <f>'Plan-GuV'!AG48</f>
        <v/>
      </c>
      <c r="AH26" s="410">
        <f>'Plan-GuV'!AH48</f>
        <v/>
      </c>
      <c r="AI26" s="410">
        <f>'Plan-GuV'!AI48</f>
        <v/>
      </c>
      <c r="AJ26" s="410">
        <f>'Plan-GuV'!AJ48</f>
        <v/>
      </c>
      <c r="AK26" s="410">
        <f>'Plan-GuV'!AK48</f>
        <v/>
      </c>
      <c r="AL26" s="410">
        <f>'Plan-GuV'!AL48</f>
        <v/>
      </c>
      <c r="AM26" s="410">
        <f>'Plan-GuV'!AM48</f>
        <v/>
      </c>
      <c r="AN26" s="324">
        <f>SUM(D26:O26)</f>
        <v/>
      </c>
      <c r="AO26" s="324">
        <f>SUM(P26:AA26)</f>
        <v/>
      </c>
      <c r="AP26" s="324">
        <f>SUM(AB26:AM26)</f>
        <v/>
      </c>
      <c r="AQ26" s="410">
        <f>'Plan-GuV'!AQ48</f>
        <v/>
      </c>
      <c r="AR26" s="410">
        <f>'Plan-GuV'!AR48</f>
        <v/>
      </c>
      <c r="AS26" s="410">
        <f>'Plan-GuV'!AS48</f>
        <v/>
      </c>
      <c r="AT26" s="410">
        <f>'Plan-GuV'!AT48</f>
        <v/>
      </c>
      <c r="AU26" s="410">
        <f>'Plan-GuV'!AU48</f>
        <v/>
      </c>
      <c r="AV26" s="410">
        <f>'Plan-GuV'!AV48</f>
        <v/>
      </c>
      <c r="AW26" s="410">
        <f>'Plan-GuV'!AW48</f>
        <v/>
      </c>
      <c r="AX26" s="410">
        <f>'Plan-GuV'!AX48</f>
        <v/>
      </c>
      <c r="AY26" s="324">
        <f>SUM(AQ26:AT26)</f>
        <v/>
      </c>
      <c r="AZ26" s="324">
        <f>SUM(AU26:AX26)</f>
        <v/>
      </c>
    </row>
    <row r="27" ht="15" customHeight="1">
      <c r="B27" s="314" t="inlineStr">
        <is>
          <t>SUMME EIGENKAPITAL</t>
        </is>
      </c>
      <c r="D27" s="323">
        <f>D23+D24+D25+D26</f>
        <v/>
      </c>
      <c r="E27" s="323">
        <f>E23+E24+E25+E26</f>
        <v/>
      </c>
      <c r="F27" s="323">
        <f>F23+F24+F25+F26</f>
        <v/>
      </c>
      <c r="G27" s="323">
        <f>G23+G24+G25+G26</f>
        <v/>
      </c>
      <c r="H27" s="323">
        <f>H23+H24+H25+H26</f>
        <v/>
      </c>
      <c r="I27" s="323">
        <f>I23+I24+I25+I26</f>
        <v/>
      </c>
      <c r="J27" s="323">
        <f>J23+J24+J25+J26</f>
        <v/>
      </c>
      <c r="K27" s="323">
        <f>K23+K24+K25+K26</f>
        <v/>
      </c>
      <c r="L27" s="323">
        <f>L23+L24+L25+L26</f>
        <v/>
      </c>
      <c r="M27" s="323">
        <f>M23+M24+M25+M26</f>
        <v/>
      </c>
      <c r="N27" s="323">
        <f>N23+N24+N25+N26</f>
        <v/>
      </c>
      <c r="O27" s="323">
        <f>O23+O24+O25+O26</f>
        <v/>
      </c>
      <c r="P27" s="323">
        <f>P23+P24+P25+P26</f>
        <v/>
      </c>
      <c r="Q27" s="323">
        <f>Q23+Q24+Q25+Q26</f>
        <v/>
      </c>
      <c r="R27" s="323">
        <f>R23+R24+R25+R26</f>
        <v/>
      </c>
      <c r="S27" s="323">
        <f>S23+S24+S25+S26</f>
        <v/>
      </c>
      <c r="T27" s="323">
        <f>T23+T24+T25+T26</f>
        <v/>
      </c>
      <c r="U27" s="323">
        <f>U23+U24+U25+U26</f>
        <v/>
      </c>
      <c r="V27" s="323">
        <f>V23+V24+V25+V26</f>
        <v/>
      </c>
      <c r="W27" s="323">
        <f>W23+W24+W25+W26</f>
        <v/>
      </c>
      <c r="X27" s="323">
        <f>X23+X24+X25+X26</f>
        <v/>
      </c>
      <c r="Y27" s="323">
        <f>Y23+Y24+Y25+Y26</f>
        <v/>
      </c>
      <c r="Z27" s="323">
        <f>Z23+Z24+Z25+Z26</f>
        <v/>
      </c>
      <c r="AA27" s="323">
        <f>AA23+AA24+AA25+AA26</f>
        <v/>
      </c>
      <c r="AB27" s="323">
        <f>AB23+AB24+AB25+AB26</f>
        <v/>
      </c>
      <c r="AC27" s="323">
        <f>AC23+AC24+AC25+AC26</f>
        <v/>
      </c>
      <c r="AD27" s="323">
        <f>AD23+AD24+AD25+AD26</f>
        <v/>
      </c>
      <c r="AE27" s="323">
        <f>AE23+AE24+AE25+AE26</f>
        <v/>
      </c>
      <c r="AF27" s="323">
        <f>AF23+AF24+AF25+AF26</f>
        <v/>
      </c>
      <c r="AG27" s="323">
        <f>AG23+AG24+AG25+AG26</f>
        <v/>
      </c>
      <c r="AH27" s="323">
        <f>AH23+AH24+AH25+AH26</f>
        <v/>
      </c>
      <c r="AI27" s="323">
        <f>AI23+AI24+AI25+AI26</f>
        <v/>
      </c>
      <c r="AJ27" s="323">
        <f>AJ23+AJ24+AJ25+AJ26</f>
        <v/>
      </c>
      <c r="AK27" s="323">
        <f>AK23+AK24+AK25+AK26</f>
        <v/>
      </c>
      <c r="AL27" s="323">
        <f>AL23+AL24+AL25+AL26</f>
        <v/>
      </c>
      <c r="AM27" s="323">
        <f>AM23+AM24+AM25+AM26</f>
        <v/>
      </c>
      <c r="AN27" s="324">
        <f>O27</f>
        <v/>
      </c>
      <c r="AO27" s="324">
        <f>AA27</f>
        <v/>
      </c>
      <c r="AP27" s="324">
        <f>AM27</f>
        <v/>
      </c>
      <c r="AQ27" s="323">
        <f>AQ23+AQ24+AQ25+AQ26</f>
        <v/>
      </c>
      <c r="AR27" s="323">
        <f>AR23+AR24+AR25+AR26</f>
        <v/>
      </c>
      <c r="AS27" s="323">
        <f>AS23+AS24+AS25+AS26</f>
        <v/>
      </c>
      <c r="AT27" s="323">
        <f>AT23+AT24+AT25+AT26</f>
        <v/>
      </c>
      <c r="AU27" s="323">
        <f>AU23+AU24+AU25+AU26</f>
        <v/>
      </c>
      <c r="AV27" s="323">
        <f>AV23+AV24+AV25+AV26</f>
        <v/>
      </c>
      <c r="AW27" s="323">
        <f>AW23+AW24+AW25+AW26</f>
        <v/>
      </c>
      <c r="AX27" s="323">
        <f>AX23+AX24+AX25+AX26</f>
        <v/>
      </c>
      <c r="AY27" s="324">
        <f>AT27</f>
        <v/>
      </c>
      <c r="AZ27" s="324">
        <f>AX27</f>
        <v/>
      </c>
    </row>
    <row r="28" ht="15" customHeight="1">
      <c r="B28" s="39" t="n"/>
    </row>
    <row r="29" ht="15" customHeight="1">
      <c r="B29" s="314" t="inlineStr">
        <is>
          <t>D. Fremdkapital</t>
        </is>
      </c>
    </row>
    <row r="30" ht="15" customHeight="1">
      <c r="B30" s="406" t="inlineStr">
        <is>
          <t>Bankdarlehen (Restschuld)</t>
        </is>
      </c>
      <c r="D30" s="410">
        <f>Modellsteuerung!D21-Modellsteuerung!D22</f>
        <v/>
      </c>
      <c r="E30" s="410">
        <f>Modellsteuerung!E21-Modellsteuerung!E22</f>
        <v/>
      </c>
      <c r="F30" s="410">
        <f>Modellsteuerung!F21-Modellsteuerung!F22</f>
        <v/>
      </c>
      <c r="G30" s="410">
        <f>Modellsteuerung!G21-Modellsteuerung!G22</f>
        <v/>
      </c>
      <c r="H30" s="410">
        <f>Modellsteuerung!H21-Modellsteuerung!H22</f>
        <v/>
      </c>
      <c r="I30" s="410">
        <f>Modellsteuerung!I21-Modellsteuerung!I22</f>
        <v/>
      </c>
      <c r="J30" s="410">
        <f>Modellsteuerung!J21-Modellsteuerung!J22</f>
        <v/>
      </c>
      <c r="K30" s="410">
        <f>Modellsteuerung!K21-Modellsteuerung!K22</f>
        <v/>
      </c>
      <c r="L30" s="410">
        <f>Modellsteuerung!L21-Modellsteuerung!L22</f>
        <v/>
      </c>
      <c r="M30" s="410">
        <f>Modellsteuerung!M21-Modellsteuerung!M22</f>
        <v/>
      </c>
      <c r="N30" s="410">
        <f>Modellsteuerung!N21-Modellsteuerung!N22</f>
        <v/>
      </c>
      <c r="O30" s="410">
        <f>Modellsteuerung!O21-Modellsteuerung!O22</f>
        <v/>
      </c>
      <c r="P30" s="410">
        <f>Modellsteuerung!P21-Modellsteuerung!P22</f>
        <v/>
      </c>
      <c r="Q30" s="410">
        <f>Modellsteuerung!Q21-Modellsteuerung!Q22</f>
        <v/>
      </c>
      <c r="R30" s="410">
        <f>Modellsteuerung!R21-Modellsteuerung!R22</f>
        <v/>
      </c>
      <c r="S30" s="410">
        <f>Modellsteuerung!S21-Modellsteuerung!S22</f>
        <v/>
      </c>
      <c r="T30" s="410">
        <f>Modellsteuerung!T21-Modellsteuerung!T22</f>
        <v/>
      </c>
      <c r="U30" s="410">
        <f>Modellsteuerung!U21-Modellsteuerung!U22</f>
        <v/>
      </c>
      <c r="V30" s="410">
        <f>Modellsteuerung!V21-Modellsteuerung!V22</f>
        <v/>
      </c>
      <c r="W30" s="410">
        <f>Modellsteuerung!W21-Modellsteuerung!W22</f>
        <v/>
      </c>
      <c r="X30" s="410">
        <f>Modellsteuerung!X21-Modellsteuerung!X22</f>
        <v/>
      </c>
      <c r="Y30" s="410">
        <f>Modellsteuerung!Y21-Modellsteuerung!Y22</f>
        <v/>
      </c>
      <c r="Z30" s="410">
        <f>Modellsteuerung!Z21-Modellsteuerung!Z22</f>
        <v/>
      </c>
      <c r="AA30" s="410">
        <f>Modellsteuerung!AA21-Modellsteuerung!AA22</f>
        <v/>
      </c>
      <c r="AB30" s="410">
        <f>Modellsteuerung!AB21-Modellsteuerung!AB22</f>
        <v/>
      </c>
      <c r="AC30" s="410">
        <f>Modellsteuerung!AC21-Modellsteuerung!AC22</f>
        <v/>
      </c>
      <c r="AD30" s="410">
        <f>Modellsteuerung!AD21-Modellsteuerung!AD22</f>
        <v/>
      </c>
      <c r="AE30" s="410">
        <f>Modellsteuerung!AE21-Modellsteuerung!AE22</f>
        <v/>
      </c>
      <c r="AF30" s="410">
        <f>Modellsteuerung!AF21-Modellsteuerung!AF22</f>
        <v/>
      </c>
      <c r="AG30" s="410">
        <f>Modellsteuerung!AG21-Modellsteuerung!AG22</f>
        <v/>
      </c>
      <c r="AH30" s="410">
        <f>Modellsteuerung!AH21-Modellsteuerung!AH22</f>
        <v/>
      </c>
      <c r="AI30" s="410">
        <f>Modellsteuerung!AI21-Modellsteuerung!AI22</f>
        <v/>
      </c>
      <c r="AJ30" s="410">
        <f>Modellsteuerung!AJ21-Modellsteuerung!AJ22</f>
        <v/>
      </c>
      <c r="AK30" s="410">
        <f>Modellsteuerung!AK21-Modellsteuerung!AK22</f>
        <v/>
      </c>
      <c r="AL30" s="410">
        <f>Modellsteuerung!AL21-Modellsteuerung!AL22</f>
        <v/>
      </c>
      <c r="AM30" s="410">
        <f>Modellsteuerung!AM21-Modellsteuerung!AM22</f>
        <v/>
      </c>
      <c r="AN30" s="324">
        <f>O30</f>
        <v/>
      </c>
      <c r="AO30" s="324">
        <f>AA30</f>
        <v/>
      </c>
      <c r="AP30" s="324">
        <f>AM30</f>
        <v/>
      </c>
      <c r="AQ30" s="410">
        <f>Modellsteuerung!AQ21-Modellsteuerung!AQ22</f>
        <v/>
      </c>
      <c r="AR30" s="410">
        <f>Modellsteuerung!AR21-Modellsteuerung!AR22</f>
        <v/>
      </c>
      <c r="AS30" s="410">
        <f>Modellsteuerung!AS21-Modellsteuerung!AS22</f>
        <v/>
      </c>
      <c r="AT30" s="410">
        <f>Modellsteuerung!AT21-Modellsteuerung!AT22</f>
        <v/>
      </c>
      <c r="AU30" s="410">
        <f>Modellsteuerung!AU21-Modellsteuerung!AU22</f>
        <v/>
      </c>
      <c r="AV30" s="410">
        <f>Modellsteuerung!AV21-Modellsteuerung!AV22</f>
        <v/>
      </c>
      <c r="AW30" s="410">
        <f>Modellsteuerung!AW21-Modellsteuerung!AW22</f>
        <v/>
      </c>
      <c r="AX30" s="410">
        <f>Modellsteuerung!AX21-Modellsteuerung!AX22</f>
        <v/>
      </c>
      <c r="AY30" s="324">
        <f>AT30</f>
        <v/>
      </c>
      <c r="AZ30" s="324">
        <f>AX30</f>
        <v/>
      </c>
    </row>
    <row r="31" ht="15" customHeight="1">
      <c r="B31" s="314" t="inlineStr">
        <is>
          <t>KfW-Darlehen (Restschuld)</t>
        </is>
      </c>
      <c r="D31" s="323">
        <f>MAX(0,Modellsteuerung!D24-Modellsteuerung!D25)</f>
        <v/>
      </c>
      <c r="E31" s="323">
        <f>MAX(0,Modellsteuerung!E24-Modellsteuerung!E25)</f>
        <v/>
      </c>
      <c r="F31" s="323">
        <f>MAX(0,Modellsteuerung!F24-Modellsteuerung!F25)</f>
        <v/>
      </c>
      <c r="G31" s="323">
        <f>MAX(0,Modellsteuerung!G24-Modellsteuerung!G25)</f>
        <v/>
      </c>
      <c r="H31" s="323">
        <f>MAX(0,Modellsteuerung!H24-Modellsteuerung!H25)</f>
        <v/>
      </c>
      <c r="I31" s="323">
        <f>MAX(0,Modellsteuerung!I24-Modellsteuerung!I25)</f>
        <v/>
      </c>
      <c r="J31" s="323">
        <f>MAX(0,Modellsteuerung!J24-Modellsteuerung!J25)</f>
        <v/>
      </c>
      <c r="K31" s="323">
        <f>MAX(0,Modellsteuerung!K24-Modellsteuerung!K25)</f>
        <v/>
      </c>
      <c r="L31" s="323">
        <f>MAX(0,Modellsteuerung!L24-Modellsteuerung!L25)</f>
        <v/>
      </c>
      <c r="M31" s="323">
        <f>MAX(0,Modellsteuerung!M24-Modellsteuerung!M25)</f>
        <v/>
      </c>
      <c r="N31" s="323">
        <f>MAX(0,Modellsteuerung!N24-Modellsteuerung!N25)</f>
        <v/>
      </c>
      <c r="O31" s="323">
        <f>MAX(0,Modellsteuerung!O24-Modellsteuerung!O25)</f>
        <v/>
      </c>
      <c r="P31" s="323">
        <f>MAX(0,Modellsteuerung!P24-Modellsteuerung!P25)</f>
        <v/>
      </c>
      <c r="Q31" s="323">
        <f>MAX(0,Modellsteuerung!Q24-Modellsteuerung!Q25)</f>
        <v/>
      </c>
      <c r="R31" s="323">
        <f>MAX(0,Modellsteuerung!R24-Modellsteuerung!R25)</f>
        <v/>
      </c>
      <c r="S31" s="323">
        <f>MAX(0,Modellsteuerung!S24-Modellsteuerung!S25)</f>
        <v/>
      </c>
      <c r="T31" s="323">
        <f>MAX(0,Modellsteuerung!T24-Modellsteuerung!T25)</f>
        <v/>
      </c>
      <c r="U31" s="323">
        <f>MAX(0,Modellsteuerung!U24-Modellsteuerung!U25)</f>
        <v/>
      </c>
      <c r="V31" s="323">
        <f>MAX(0,Modellsteuerung!V24-Modellsteuerung!V25)</f>
        <v/>
      </c>
      <c r="W31" s="323">
        <f>MAX(0,Modellsteuerung!W24-Modellsteuerung!W25)</f>
        <v/>
      </c>
      <c r="X31" s="323">
        <f>MAX(0,Modellsteuerung!X24-Modellsteuerung!X25)</f>
        <v/>
      </c>
      <c r="Y31" s="323">
        <f>MAX(0,Modellsteuerung!Y24-Modellsteuerung!Y25)</f>
        <v/>
      </c>
      <c r="Z31" s="323">
        <f>MAX(0,Modellsteuerung!Z24-Modellsteuerung!Z25)</f>
        <v/>
      </c>
      <c r="AA31" s="323">
        <f>MAX(0,Modellsteuerung!AA24-Modellsteuerung!AA25)</f>
        <v/>
      </c>
      <c r="AB31" s="323">
        <f>MAX(0,Modellsteuerung!AB24-Modellsteuerung!AB25)</f>
        <v/>
      </c>
      <c r="AC31" s="323">
        <f>MAX(0,Modellsteuerung!AC24-Modellsteuerung!AC25)</f>
        <v/>
      </c>
      <c r="AD31" s="323">
        <f>MAX(0,Modellsteuerung!AD24-Modellsteuerung!AD25)</f>
        <v/>
      </c>
      <c r="AE31" s="323">
        <f>MAX(0,Modellsteuerung!AE24-Modellsteuerung!AE25)</f>
        <v/>
      </c>
      <c r="AF31" s="323">
        <f>MAX(0,Modellsteuerung!AF24-Modellsteuerung!AF25)</f>
        <v/>
      </c>
      <c r="AG31" s="323">
        <f>MAX(0,Modellsteuerung!AG24-Modellsteuerung!AG25)</f>
        <v/>
      </c>
      <c r="AH31" s="323">
        <f>MAX(0,Modellsteuerung!AH24-Modellsteuerung!AH25)</f>
        <v/>
      </c>
      <c r="AI31" s="323">
        <f>MAX(0,Modellsteuerung!AI24-Modellsteuerung!AI25)</f>
        <v/>
      </c>
      <c r="AJ31" s="323">
        <f>MAX(0,Modellsteuerung!AJ24-Modellsteuerung!AJ25)</f>
        <v/>
      </c>
      <c r="AK31" s="323">
        <f>MAX(0,Modellsteuerung!AK24-Modellsteuerung!AK25)</f>
        <v/>
      </c>
      <c r="AL31" s="323">
        <f>MAX(0,Modellsteuerung!AL24-Modellsteuerung!AL25)</f>
        <v/>
      </c>
      <c r="AM31" s="323">
        <f>MAX(0,Modellsteuerung!AM24-Modellsteuerung!AM25)</f>
        <v/>
      </c>
      <c r="AN31" s="324">
        <f>O31</f>
        <v/>
      </c>
      <c r="AO31" s="324">
        <f>AA31</f>
        <v/>
      </c>
      <c r="AP31" s="324">
        <f>AM31</f>
        <v/>
      </c>
      <c r="AQ31" s="323">
        <f>MAX(0,Modellsteuerung!AQ24-Modellsteuerung!AQ25)</f>
        <v/>
      </c>
      <c r="AR31" s="323">
        <f>MAX(0,Modellsteuerung!AR24-Modellsteuerung!AR25)</f>
        <v/>
      </c>
      <c r="AS31" s="323">
        <f>MAX(0,Modellsteuerung!AS24-Modellsteuerung!AS25)</f>
        <v/>
      </c>
      <c r="AT31" s="323">
        <f>MAX(0,Modellsteuerung!AT24-Modellsteuerung!AT25)</f>
        <v/>
      </c>
      <c r="AU31" s="323">
        <f>MAX(0,Modellsteuerung!AU24-Modellsteuerung!AU25)</f>
        <v/>
      </c>
      <c r="AV31" s="323">
        <f>MAX(0,Modellsteuerung!AV24-Modellsteuerung!AV25)</f>
        <v/>
      </c>
      <c r="AW31" s="323">
        <f>MAX(0,Modellsteuerung!AW24-Modellsteuerung!AW25)</f>
        <v/>
      </c>
      <c r="AX31" s="323">
        <f>MAX(0,Modellsteuerung!AX24-Modellsteuerung!AX25)</f>
        <v/>
      </c>
      <c r="AY31" s="324">
        <f>AT31</f>
        <v/>
      </c>
      <c r="AZ31" s="324">
        <f>AX31</f>
        <v/>
      </c>
    </row>
    <row r="32" ht="15" customHeight="1">
      <c r="B32" s="406" t="inlineStr">
        <is>
          <t>Verbindlichkeiten LuL (30 Tage OPEX)</t>
        </is>
      </c>
      <c r="D32" s="410">
        <f>-'Plan-GuV'!D28</f>
        <v/>
      </c>
      <c r="E32" s="410">
        <f>-'Plan-GuV'!E28</f>
        <v/>
      </c>
      <c r="F32" s="410">
        <f>-'Plan-GuV'!F28</f>
        <v/>
      </c>
      <c r="G32" s="410">
        <f>-'Plan-GuV'!G28</f>
        <v/>
      </c>
      <c r="H32" s="410">
        <f>-'Plan-GuV'!H28</f>
        <v/>
      </c>
      <c r="I32" s="410">
        <f>-'Plan-GuV'!I28</f>
        <v/>
      </c>
      <c r="J32" s="410">
        <f>-'Plan-GuV'!J28</f>
        <v/>
      </c>
      <c r="K32" s="410">
        <f>-'Plan-GuV'!K28</f>
        <v/>
      </c>
      <c r="L32" s="410">
        <f>-'Plan-GuV'!L28</f>
        <v/>
      </c>
      <c r="M32" s="410">
        <f>-'Plan-GuV'!M28</f>
        <v/>
      </c>
      <c r="N32" s="410">
        <f>-'Plan-GuV'!N28</f>
        <v/>
      </c>
      <c r="O32" s="410">
        <f>-'Plan-GuV'!O28</f>
        <v/>
      </c>
      <c r="P32" s="410">
        <f>-'Plan-GuV'!P28</f>
        <v/>
      </c>
      <c r="Q32" s="410">
        <f>-'Plan-GuV'!Q28</f>
        <v/>
      </c>
      <c r="R32" s="410">
        <f>-'Plan-GuV'!R28</f>
        <v/>
      </c>
      <c r="S32" s="410">
        <f>-'Plan-GuV'!S28</f>
        <v/>
      </c>
      <c r="T32" s="410">
        <f>-'Plan-GuV'!T28</f>
        <v/>
      </c>
      <c r="U32" s="410">
        <f>-'Plan-GuV'!U28</f>
        <v/>
      </c>
      <c r="V32" s="410">
        <f>-'Plan-GuV'!V28</f>
        <v/>
      </c>
      <c r="W32" s="410">
        <f>-'Plan-GuV'!W28</f>
        <v/>
      </c>
      <c r="X32" s="410">
        <f>-'Plan-GuV'!X28</f>
        <v/>
      </c>
      <c r="Y32" s="410">
        <f>-'Plan-GuV'!Y28</f>
        <v/>
      </c>
      <c r="Z32" s="410">
        <f>-'Plan-GuV'!Z28</f>
        <v/>
      </c>
      <c r="AA32" s="410">
        <f>-'Plan-GuV'!AA28</f>
        <v/>
      </c>
      <c r="AB32" s="410">
        <f>-'Plan-GuV'!AB28</f>
        <v/>
      </c>
      <c r="AC32" s="410">
        <f>-'Plan-GuV'!AC28</f>
        <v/>
      </c>
      <c r="AD32" s="410">
        <f>-'Plan-GuV'!AD28</f>
        <v/>
      </c>
      <c r="AE32" s="410">
        <f>-'Plan-GuV'!AE28</f>
        <v/>
      </c>
      <c r="AF32" s="410">
        <f>-'Plan-GuV'!AF28</f>
        <v/>
      </c>
      <c r="AG32" s="410">
        <f>-'Plan-GuV'!AG28</f>
        <v/>
      </c>
      <c r="AH32" s="410">
        <f>-'Plan-GuV'!AH28</f>
        <v/>
      </c>
      <c r="AI32" s="410">
        <f>-'Plan-GuV'!AI28</f>
        <v/>
      </c>
      <c r="AJ32" s="410">
        <f>-'Plan-GuV'!AJ28</f>
        <v/>
      </c>
      <c r="AK32" s="410">
        <f>-'Plan-GuV'!AK28</f>
        <v/>
      </c>
      <c r="AL32" s="410">
        <f>-'Plan-GuV'!AL28</f>
        <v/>
      </c>
      <c r="AM32" s="410">
        <f>-'Plan-GuV'!AM28</f>
        <v/>
      </c>
      <c r="AN32" s="324">
        <f>O32</f>
        <v/>
      </c>
      <c r="AO32" s="324">
        <f>AA32</f>
        <v/>
      </c>
      <c r="AP32" s="324">
        <f>AM32</f>
        <v/>
      </c>
      <c r="AQ32" s="410">
        <f>-'Plan-GuV'!AQ28/3</f>
        <v/>
      </c>
      <c r="AR32" s="410">
        <f>-'Plan-GuV'!AR28/3</f>
        <v/>
      </c>
      <c r="AS32" s="410">
        <f>-'Plan-GuV'!AS28/3</f>
        <v/>
      </c>
      <c r="AT32" s="410">
        <f>-'Plan-GuV'!AT28/3</f>
        <v/>
      </c>
      <c r="AU32" s="410">
        <f>-'Plan-GuV'!AU28/3</f>
        <v/>
      </c>
      <c r="AV32" s="410">
        <f>-'Plan-GuV'!AV28/3</f>
        <v/>
      </c>
      <c r="AW32" s="410">
        <f>-'Plan-GuV'!AW28/3</f>
        <v/>
      </c>
      <c r="AX32" s="410">
        <f>-'Plan-GuV'!AX28/3</f>
        <v/>
      </c>
      <c r="AY32" s="324">
        <f>AT32</f>
        <v/>
      </c>
      <c r="AZ32" s="324">
        <f>AX32</f>
        <v/>
      </c>
    </row>
    <row r="33" ht="15" customHeight="1">
      <c r="B33" s="314" t="inlineStr">
        <is>
          <t>SUMME FREMDKAPITAL</t>
        </is>
      </c>
      <c r="D33" s="323">
        <f>D30+D31+D32</f>
        <v/>
      </c>
      <c r="E33" s="323">
        <f>E30+E31+E32</f>
        <v/>
      </c>
      <c r="F33" s="323">
        <f>F30+F31+F32</f>
        <v/>
      </c>
      <c r="G33" s="323">
        <f>G30+G31+G32</f>
        <v/>
      </c>
      <c r="H33" s="323">
        <f>H30+H31+H32</f>
        <v/>
      </c>
      <c r="I33" s="323">
        <f>I30+I31+I32</f>
        <v/>
      </c>
      <c r="J33" s="323">
        <f>J30+J31+J32</f>
        <v/>
      </c>
      <c r="K33" s="323">
        <f>K30+K31+K32</f>
        <v/>
      </c>
      <c r="L33" s="323">
        <f>L30+L31+L32</f>
        <v/>
      </c>
      <c r="M33" s="323">
        <f>M30+M31+M32</f>
        <v/>
      </c>
      <c r="N33" s="323">
        <f>N30+N31+N32</f>
        <v/>
      </c>
      <c r="O33" s="323">
        <f>O30+O31+O32</f>
        <v/>
      </c>
      <c r="P33" s="323">
        <f>P30+P31+P32</f>
        <v/>
      </c>
      <c r="Q33" s="323">
        <f>Q30+Q31+Q32</f>
        <v/>
      </c>
      <c r="R33" s="323">
        <f>R30+R31+R32</f>
        <v/>
      </c>
      <c r="S33" s="323">
        <f>S30+S31+S32</f>
        <v/>
      </c>
      <c r="T33" s="323">
        <f>T30+T31+T32</f>
        <v/>
      </c>
      <c r="U33" s="323">
        <f>U30+U31+U32</f>
        <v/>
      </c>
      <c r="V33" s="323">
        <f>V30+V31+V32</f>
        <v/>
      </c>
      <c r="W33" s="323">
        <f>W30+W31+W32</f>
        <v/>
      </c>
      <c r="X33" s="323">
        <f>X30+X31+X32</f>
        <v/>
      </c>
      <c r="Y33" s="323">
        <f>Y30+Y31+Y32</f>
        <v/>
      </c>
      <c r="Z33" s="323">
        <f>Z30+Z31+Z32</f>
        <v/>
      </c>
      <c r="AA33" s="323">
        <f>AA30+AA31+AA32</f>
        <v/>
      </c>
      <c r="AB33" s="323">
        <f>AB30+AB31+AB32</f>
        <v/>
      </c>
      <c r="AC33" s="323">
        <f>AC30+AC31+AC32</f>
        <v/>
      </c>
      <c r="AD33" s="323">
        <f>AD30+AD31+AD32</f>
        <v/>
      </c>
      <c r="AE33" s="323">
        <f>AE30+AE31+AE32</f>
        <v/>
      </c>
      <c r="AF33" s="323">
        <f>AF30+AF31+AF32</f>
        <v/>
      </c>
      <c r="AG33" s="323">
        <f>AG30+AG31+AG32</f>
        <v/>
      </c>
      <c r="AH33" s="323">
        <f>AH30+AH31+AH32</f>
        <v/>
      </c>
      <c r="AI33" s="323">
        <f>AI30+AI31+AI32</f>
        <v/>
      </c>
      <c r="AJ33" s="323">
        <f>AJ30+AJ31+AJ32</f>
        <v/>
      </c>
      <c r="AK33" s="323">
        <f>AK30+AK31+AK32</f>
        <v/>
      </c>
      <c r="AL33" s="323">
        <f>AL30+AL31+AL32</f>
        <v/>
      </c>
      <c r="AM33" s="323">
        <f>AM30+AM31+AM32</f>
        <v/>
      </c>
      <c r="AN33" s="324">
        <f>O33</f>
        <v/>
      </c>
      <c r="AO33" s="324">
        <f>AA33</f>
        <v/>
      </c>
      <c r="AP33" s="324">
        <f>AM33</f>
        <v/>
      </c>
      <c r="AQ33" s="323">
        <f>AQ30+AQ31+AQ32</f>
        <v/>
      </c>
      <c r="AR33" s="323">
        <f>AR30+AR31+AR32</f>
        <v/>
      </c>
      <c r="AS33" s="323">
        <f>AS30+AS31+AS32</f>
        <v/>
      </c>
      <c r="AT33" s="323">
        <f>AT30+AT31+AT32</f>
        <v/>
      </c>
      <c r="AU33" s="323">
        <f>AU30+AU31+AU32</f>
        <v/>
      </c>
      <c r="AV33" s="323">
        <f>AV30+AV31+AV32</f>
        <v/>
      </c>
      <c r="AW33" s="323">
        <f>AW30+AW31+AW32</f>
        <v/>
      </c>
      <c r="AX33" s="323">
        <f>AX30+AX31+AX32</f>
        <v/>
      </c>
      <c r="AY33" s="324">
        <f>AT33</f>
        <v/>
      </c>
      <c r="AZ33" s="324">
        <f>AX33</f>
        <v/>
      </c>
    </row>
    <row r="34" ht="15" customHeight="1">
      <c r="B34" s="39" t="n"/>
    </row>
    <row r="35" ht="15" customHeight="1">
      <c r="B35" s="325" t="inlineStr">
        <is>
          <t>SUMME PASSIVA</t>
        </is>
      </c>
      <c r="C35" s="43" t="n"/>
      <c r="D35" s="324">
        <f>D27+D33</f>
        <v/>
      </c>
      <c r="E35" s="324">
        <f>E27+E33</f>
        <v/>
      </c>
      <c r="F35" s="324">
        <f>F27+F33</f>
        <v/>
      </c>
      <c r="G35" s="324">
        <f>G27+G33</f>
        <v/>
      </c>
      <c r="H35" s="324">
        <f>H27+H33</f>
        <v/>
      </c>
      <c r="I35" s="324">
        <f>I27+I33</f>
        <v/>
      </c>
      <c r="J35" s="324">
        <f>J27+J33</f>
        <v/>
      </c>
      <c r="K35" s="324">
        <f>K27+K33</f>
        <v/>
      </c>
      <c r="L35" s="324">
        <f>L27+L33</f>
        <v/>
      </c>
      <c r="M35" s="324">
        <f>M27+M33</f>
        <v/>
      </c>
      <c r="N35" s="324">
        <f>N27+N33</f>
        <v/>
      </c>
      <c r="O35" s="324">
        <f>O27+O33</f>
        <v/>
      </c>
      <c r="P35" s="324">
        <f>P27+P33</f>
        <v/>
      </c>
      <c r="Q35" s="324">
        <f>Q27+Q33</f>
        <v/>
      </c>
      <c r="R35" s="324">
        <f>R27+R33</f>
        <v/>
      </c>
      <c r="S35" s="324">
        <f>S27+S33</f>
        <v/>
      </c>
      <c r="T35" s="324">
        <f>T27+T33</f>
        <v/>
      </c>
      <c r="U35" s="324">
        <f>U27+U33</f>
        <v/>
      </c>
      <c r="V35" s="324">
        <f>V27+V33</f>
        <v/>
      </c>
      <c r="W35" s="324">
        <f>W27+W33</f>
        <v/>
      </c>
      <c r="X35" s="324">
        <f>X27+X33</f>
        <v/>
      </c>
      <c r="Y35" s="324">
        <f>Y27+Y33</f>
        <v/>
      </c>
      <c r="Z35" s="324">
        <f>Z27+Z33</f>
        <v/>
      </c>
      <c r="AA35" s="324">
        <f>AA27+AA33</f>
        <v/>
      </c>
      <c r="AB35" s="324">
        <f>AB27+AB33</f>
        <v/>
      </c>
      <c r="AC35" s="324">
        <f>AC27+AC33</f>
        <v/>
      </c>
      <c r="AD35" s="324">
        <f>AD27+AD33</f>
        <v/>
      </c>
      <c r="AE35" s="324">
        <f>AE27+AE33</f>
        <v/>
      </c>
      <c r="AF35" s="324">
        <f>AF27+AF33</f>
        <v/>
      </c>
      <c r="AG35" s="324">
        <f>AG27+AG33</f>
        <v/>
      </c>
      <c r="AH35" s="324">
        <f>AH27+AH33</f>
        <v/>
      </c>
      <c r="AI35" s="324">
        <f>AI27+AI33</f>
        <v/>
      </c>
      <c r="AJ35" s="324">
        <f>AJ27+AJ33</f>
        <v/>
      </c>
      <c r="AK35" s="324">
        <f>AK27+AK33</f>
        <v/>
      </c>
      <c r="AL35" s="324">
        <f>AL27+AL33</f>
        <v/>
      </c>
      <c r="AM35" s="324">
        <f>AM27+AM33</f>
        <v/>
      </c>
      <c r="AN35" s="324">
        <f>O35</f>
        <v/>
      </c>
      <c r="AO35" s="324">
        <f>AA35</f>
        <v/>
      </c>
      <c r="AP35" s="324">
        <f>AM35</f>
        <v/>
      </c>
      <c r="AQ35" s="324">
        <f>AQ27+AQ33</f>
        <v/>
      </c>
      <c r="AR35" s="324">
        <f>AR27+AR33</f>
        <v/>
      </c>
      <c r="AS35" s="324">
        <f>AS27+AS33</f>
        <v/>
      </c>
      <c r="AT35" s="324">
        <f>AT27+AT33</f>
        <v/>
      </c>
      <c r="AU35" s="324">
        <f>AU27+AU33</f>
        <v/>
      </c>
      <c r="AV35" s="324">
        <f>AV27+AV33</f>
        <v/>
      </c>
      <c r="AW35" s="324">
        <f>AW27+AW33</f>
        <v/>
      </c>
      <c r="AX35" s="324">
        <f>AX27+AX33</f>
        <v/>
      </c>
      <c r="AY35" s="324">
        <f>AT35</f>
        <v/>
      </c>
      <c r="AZ35" s="324">
        <f>AX35</f>
        <v/>
      </c>
    </row>
    <row r="36" ht="15" customHeight="1">
      <c r="B36" s="39" t="n"/>
    </row>
    <row r="37" ht="15" customHeight="1">
      <c r="B37" s="314" t="inlineStr">
        <is>
          <t>KONTROLLE (Aktiva - Passiva)</t>
        </is>
      </c>
      <c r="D37" s="323">
        <f>ROUND(D18-D35,0)</f>
        <v/>
      </c>
      <c r="E37" s="323">
        <f>ROUND(E18-E35,0)</f>
        <v/>
      </c>
      <c r="F37" s="323">
        <f>ROUND(F18-F35,0)</f>
        <v/>
      </c>
      <c r="G37" s="323">
        <f>ROUND(G18-G35,0)</f>
        <v/>
      </c>
      <c r="H37" s="323">
        <f>ROUND(H18-H35,0)</f>
        <v/>
      </c>
      <c r="I37" s="323">
        <f>ROUND(I18-I35,0)</f>
        <v/>
      </c>
      <c r="J37" s="323">
        <f>ROUND(J18-J35,0)</f>
        <v/>
      </c>
      <c r="K37" s="323">
        <f>ROUND(K18-K35,0)</f>
        <v/>
      </c>
      <c r="L37" s="323">
        <f>ROUND(L18-L35,0)</f>
        <v/>
      </c>
      <c r="M37" s="323">
        <f>ROUND(M18-M35,0)</f>
        <v/>
      </c>
      <c r="N37" s="323">
        <f>ROUND(N18-N35,0)</f>
        <v/>
      </c>
      <c r="O37" s="323">
        <f>ROUND(O18-O35,0)</f>
        <v/>
      </c>
      <c r="P37" s="323">
        <f>ROUND(P18-P35,0)</f>
        <v/>
      </c>
      <c r="Q37" s="323">
        <f>ROUND(Q18-Q35,0)</f>
        <v/>
      </c>
      <c r="R37" s="323">
        <f>ROUND(R18-R35,0)</f>
        <v/>
      </c>
      <c r="S37" s="323">
        <f>ROUND(S18-S35,0)</f>
        <v/>
      </c>
      <c r="T37" s="323">
        <f>ROUND(T18-T35,0)</f>
        <v/>
      </c>
      <c r="U37" s="323">
        <f>ROUND(U18-U35,0)</f>
        <v/>
      </c>
      <c r="V37" s="323">
        <f>ROUND(V18-V35,0)</f>
        <v/>
      </c>
      <c r="W37" s="323">
        <f>ROUND(W18-W35,0)</f>
        <v/>
      </c>
      <c r="X37" s="323">
        <f>ROUND(X18-X35,0)</f>
        <v/>
      </c>
      <c r="Y37" s="323">
        <f>ROUND(Y18-Y35,0)</f>
        <v/>
      </c>
      <c r="Z37" s="323">
        <f>ROUND(Z18-Z35,0)</f>
        <v/>
      </c>
      <c r="AA37" s="323">
        <f>ROUND(AA18-AA35,0)</f>
        <v/>
      </c>
      <c r="AB37" s="323">
        <f>ROUND(AB18-AB35,0)</f>
        <v/>
      </c>
      <c r="AC37" s="323">
        <f>ROUND(AC18-AC35,0)</f>
        <v/>
      </c>
      <c r="AD37" s="323">
        <f>ROUND(AD18-AD35,0)</f>
        <v/>
      </c>
      <c r="AE37" s="323">
        <f>ROUND(AE18-AE35,0)</f>
        <v/>
      </c>
      <c r="AF37" s="323">
        <f>ROUND(AF18-AF35,0)</f>
        <v/>
      </c>
      <c r="AG37" s="323">
        <f>ROUND(AG18-AG35,0)</f>
        <v/>
      </c>
      <c r="AH37" s="323">
        <f>ROUND(AH18-AH35,0)</f>
        <v/>
      </c>
      <c r="AI37" s="323">
        <f>ROUND(AI18-AI35,0)</f>
        <v/>
      </c>
      <c r="AJ37" s="323">
        <f>ROUND(AJ18-AJ35,0)</f>
        <v/>
      </c>
      <c r="AK37" s="323">
        <f>ROUND(AK18-AK35,0)</f>
        <v/>
      </c>
      <c r="AL37" s="323">
        <f>ROUND(AL18-AL35,0)</f>
        <v/>
      </c>
      <c r="AM37" s="323">
        <f>ROUND(AM18-AM35,0)</f>
        <v/>
      </c>
      <c r="AN37" s="324">
        <f>O37</f>
        <v/>
      </c>
      <c r="AO37" s="324">
        <f>AA37</f>
        <v/>
      </c>
      <c r="AP37" s="324">
        <f>AM37</f>
        <v/>
      </c>
      <c r="AQ37" s="323">
        <f>ROUND(AQ18-AQ35,0)</f>
        <v/>
      </c>
      <c r="AR37" s="323">
        <f>ROUND(AR18-AR35,0)</f>
        <v/>
      </c>
      <c r="AS37" s="323">
        <f>ROUND(AS18-AS35,0)</f>
        <v/>
      </c>
      <c r="AT37" s="323">
        <f>ROUND(AT18-AT35,0)</f>
        <v/>
      </c>
      <c r="AU37" s="323">
        <f>ROUND(AU18-AU35,0)</f>
        <v/>
      </c>
      <c r="AV37" s="323">
        <f>ROUND(AV18-AV35,0)</f>
        <v/>
      </c>
      <c r="AW37" s="323">
        <f>ROUND(AW18-AW35,0)</f>
        <v/>
      </c>
      <c r="AX37" s="323">
        <f>ROUND(AX18-AX35,0)</f>
        <v/>
      </c>
      <c r="AY37" s="324">
        <f>AT37</f>
        <v/>
      </c>
      <c r="AZ37" s="324">
        <f>AX37</f>
        <v/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tabColor rgb="0000D4FF"/>
    <outlinePr summaryBelow="1" summaryRight="1"/>
    <pageSetUpPr/>
  </sheetPr>
  <dimension ref="B1:AZ25"/>
  <sheetViews>
    <sheetView zoomScaleNormal="100" workbookViewId="0">
      <pane ySplit="1" topLeftCell="A2" activePane="bottomLeft" state="frozen"/>
      <selection pane="bottomLeft" activeCell="D1" sqref="D1"/>
      <selection pane="bottomLeft" activeCell="A5" sqref="A5"/>
      <selection pane="bottomRigh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10" customWidth="1" min="3" max="3"/>
    <col width="30" customWidth="1" min="4" max="52"/>
    <col width="30" customWidth="1" min="5" max="5"/>
    <col width="30" customWidth="1" min="6" max="6"/>
    <col width="30" customWidth="1" min="7" max="7"/>
    <col width="30" customWidth="1" min="8" max="8"/>
    <col width="30" customWidth="1" min="9" max="9"/>
    <col width="30" customWidth="1" min="10" max="10"/>
    <col width="30" customWidth="1" min="11" max="11"/>
    <col width="30" customWidth="1" min="12" max="12"/>
    <col width="30" customWidth="1" min="13" max="13"/>
    <col width="30" customWidth="1" min="14" max="14"/>
    <col width="30" customWidth="1" min="15" max="15"/>
    <col width="30" customWidth="1" min="16" max="16"/>
    <col width="30" customWidth="1" min="17" max="17"/>
    <col width="30" customWidth="1" min="18" max="18"/>
    <col width="30" customWidth="1" min="19" max="19"/>
    <col width="30" customWidth="1" min="20" max="20"/>
    <col width="30" customWidth="1" min="21" max="21"/>
    <col width="30" customWidth="1" min="22" max="22"/>
    <col width="30" customWidth="1" min="23" max="23"/>
    <col width="30" customWidth="1" min="24" max="24"/>
    <col width="30" customWidth="1" min="25" max="25"/>
    <col width="30" customWidth="1" min="26" max="26"/>
    <col width="30" customWidth="1" min="27" max="27"/>
    <col width="30" customWidth="1" min="28" max="28"/>
    <col width="30" customWidth="1" min="29" max="29"/>
    <col width="30" customWidth="1" min="30" max="30"/>
    <col width="30" customWidth="1" min="31" max="31"/>
    <col width="30" customWidth="1" min="32" max="32"/>
    <col width="30" customWidth="1" min="33" max="33"/>
    <col width="30" customWidth="1" min="34" max="34"/>
    <col width="30" customWidth="1" min="35" max="35"/>
    <col width="30" customWidth="1" min="36" max="36"/>
    <col width="30" customWidth="1" min="37" max="37"/>
    <col width="30" customWidth="1" min="38" max="38"/>
    <col width="30" customWidth="1" min="39" max="39"/>
    <col width="30" customWidth="1" min="40" max="40"/>
    <col width="30" customWidth="1" min="41" max="41"/>
    <col width="30" customWidth="1" min="42" max="42"/>
    <col width="30" customWidth="1" min="43" max="43"/>
    <col width="30" customWidth="1" min="44" max="44"/>
    <col width="30" customWidth="1" min="45" max="45"/>
    <col width="30" customWidth="1" min="46" max="46"/>
    <col width="30" customWidth="1" min="47" max="47"/>
    <col width="30" customWidth="1" min="48" max="48"/>
    <col width="30" customWidth="1" min="49" max="49"/>
    <col width="30" customWidth="1" min="50" max="50"/>
    <col width="30" customWidth="1" min="51" max="51"/>
    <col width="30" customWidth="1" min="52" max="52"/>
  </cols>
  <sheetData>
    <row r="1" ht="24" customHeight="1">
      <c r="B1" s="405" t="inlineStr">
        <is>
          <t>PHYOX BioGenesis (NovaVersum GmbH) – Plan-Cashflow (Indirekte Methode)</t>
        </is>
      </c>
    </row>
    <row r="2" ht="15" customHeight="1">
      <c r="B2" s="406" t="inlineStr">
        <is>
          <t>Monatlich (Jahr 1-3) | Quartalsweise (Jahr 4-5) | Base Case</t>
        </is>
      </c>
    </row>
    <row r="3"/>
    <row r="4" ht="15" customHeight="1">
      <c r="B4" s="319" t="inlineStr">
        <is>
          <t>Position</t>
        </is>
      </c>
      <c r="C4" s="319" t="inlineStr">
        <is>
          <t>€</t>
        </is>
      </c>
      <c r="D4" s="319" t="inlineStr">
        <is>
          <t>Jan J1</t>
        </is>
      </c>
      <c r="E4" s="319" t="inlineStr">
        <is>
          <t>Feb J1</t>
        </is>
      </c>
      <c r="F4" s="319" t="inlineStr">
        <is>
          <t>Mär J1</t>
        </is>
      </c>
      <c r="G4" s="319" t="inlineStr">
        <is>
          <t>Apr J1</t>
        </is>
      </c>
      <c r="H4" s="319" t="inlineStr">
        <is>
          <t>Mai J1</t>
        </is>
      </c>
      <c r="I4" s="319" t="inlineStr">
        <is>
          <t>Jun J1</t>
        </is>
      </c>
      <c r="J4" s="319" t="inlineStr">
        <is>
          <t>Jul J1</t>
        </is>
      </c>
      <c r="K4" s="319" t="inlineStr">
        <is>
          <t>Aug J1</t>
        </is>
      </c>
      <c r="L4" s="319" t="inlineStr">
        <is>
          <t>Sep J1</t>
        </is>
      </c>
      <c r="M4" s="319" t="inlineStr">
        <is>
          <t>Okt J1</t>
        </is>
      </c>
      <c r="N4" s="319" t="inlineStr">
        <is>
          <t>Nov J1</t>
        </is>
      </c>
      <c r="O4" s="319" t="inlineStr">
        <is>
          <t>Dez J1</t>
        </is>
      </c>
      <c r="P4" s="319" t="inlineStr">
        <is>
          <t>Jan J2</t>
        </is>
      </c>
      <c r="Q4" s="319" t="inlineStr">
        <is>
          <t>Feb J2</t>
        </is>
      </c>
      <c r="R4" s="319" t="inlineStr">
        <is>
          <t>Mär J2</t>
        </is>
      </c>
      <c r="S4" s="319" t="inlineStr">
        <is>
          <t>Apr J2</t>
        </is>
      </c>
      <c r="T4" s="319" t="inlineStr">
        <is>
          <t>Mai J2</t>
        </is>
      </c>
      <c r="U4" s="319" t="inlineStr">
        <is>
          <t>Jun J2</t>
        </is>
      </c>
      <c r="V4" s="319" t="inlineStr">
        <is>
          <t>Jul J2</t>
        </is>
      </c>
      <c r="W4" s="319" t="inlineStr">
        <is>
          <t>Aug J2</t>
        </is>
      </c>
      <c r="X4" s="319" t="inlineStr">
        <is>
          <t>Sep J2</t>
        </is>
      </c>
      <c r="Y4" s="319" t="inlineStr">
        <is>
          <t>Okt J2</t>
        </is>
      </c>
      <c r="Z4" s="319" t="inlineStr">
        <is>
          <t>Nov J2</t>
        </is>
      </c>
      <c r="AA4" s="319" t="inlineStr">
        <is>
          <t>Dez J2</t>
        </is>
      </c>
      <c r="AB4" s="319" t="inlineStr">
        <is>
          <t>Jan J3</t>
        </is>
      </c>
      <c r="AC4" s="319" t="inlineStr">
        <is>
          <t>Feb J3</t>
        </is>
      </c>
      <c r="AD4" s="319" t="inlineStr">
        <is>
          <t>Mär J3</t>
        </is>
      </c>
      <c r="AE4" s="319" t="inlineStr">
        <is>
          <t>Apr J3</t>
        </is>
      </c>
      <c r="AF4" s="319" t="inlineStr">
        <is>
          <t>Mai J3</t>
        </is>
      </c>
      <c r="AG4" s="319" t="inlineStr">
        <is>
          <t>Jun J3</t>
        </is>
      </c>
      <c r="AH4" s="319" t="inlineStr">
        <is>
          <t>Jul J3</t>
        </is>
      </c>
      <c r="AI4" s="319" t="inlineStr">
        <is>
          <t>Aug J3</t>
        </is>
      </c>
      <c r="AJ4" s="319" t="inlineStr">
        <is>
          <t>Sep J3</t>
        </is>
      </c>
      <c r="AK4" s="319" t="inlineStr">
        <is>
          <t>Okt J3</t>
        </is>
      </c>
      <c r="AL4" s="319" t="inlineStr">
        <is>
          <t>Nov J3</t>
        </is>
      </c>
      <c r="AM4" s="319" t="inlineStr">
        <is>
          <t>Dez J3</t>
        </is>
      </c>
      <c r="AN4" s="319" t="inlineStr">
        <is>
          <t>JAHR 1</t>
        </is>
      </c>
      <c r="AO4" s="319" t="inlineStr">
        <is>
          <t>JAHR 2</t>
        </is>
      </c>
      <c r="AP4" s="319" t="inlineStr">
        <is>
          <t>JAHR 3</t>
        </is>
      </c>
      <c r="AQ4" s="319" t="inlineStr">
        <is>
          <t>Q1 J4</t>
        </is>
      </c>
      <c r="AR4" s="319" t="inlineStr">
        <is>
          <t>Q2 J4</t>
        </is>
      </c>
      <c r="AS4" s="319" t="inlineStr">
        <is>
          <t>Q3 J4</t>
        </is>
      </c>
      <c r="AT4" s="319" t="inlineStr">
        <is>
          <t>Q4 J4</t>
        </is>
      </c>
      <c r="AU4" s="319" t="inlineStr">
        <is>
          <t>Q1 J5</t>
        </is>
      </c>
      <c r="AV4" s="319" t="inlineStr">
        <is>
          <t>Q2 J5</t>
        </is>
      </c>
      <c r="AW4" s="319" t="inlineStr">
        <is>
          <t>Q3 J5</t>
        </is>
      </c>
      <c r="AX4" s="319" t="inlineStr">
        <is>
          <t>Q4 J5</t>
        </is>
      </c>
      <c r="AY4" s="319" t="inlineStr">
        <is>
          <t>JAHR 4</t>
        </is>
      </c>
      <c r="AZ4" s="319" t="inlineStr">
        <is>
          <t>JAHR 5</t>
        </is>
      </c>
    </row>
    <row r="5" ht="15" customHeight="1">
      <c r="B5" s="314" t="inlineStr">
        <is>
          <t>A. OPERATIVER CASHFLOW</t>
        </is>
      </c>
    </row>
    <row r="6" ht="15" customHeight="1">
      <c r="B6" s="406" t="inlineStr">
        <is>
          <t>Jahresüberschuss</t>
        </is>
      </c>
      <c r="D6" s="410">
        <f>'Plan-GuV'!D48</f>
        <v/>
      </c>
      <c r="E6" s="410">
        <f>'Plan-GuV'!E48</f>
        <v/>
      </c>
      <c r="F6" s="410">
        <f>'Plan-GuV'!F48</f>
        <v/>
      </c>
      <c r="G6" s="410">
        <f>'Plan-GuV'!G48</f>
        <v/>
      </c>
      <c r="H6" s="410">
        <f>'Plan-GuV'!H48</f>
        <v/>
      </c>
      <c r="I6" s="410">
        <f>'Plan-GuV'!I48</f>
        <v/>
      </c>
      <c r="J6" s="410">
        <f>'Plan-GuV'!J48</f>
        <v/>
      </c>
      <c r="K6" s="410">
        <f>'Plan-GuV'!K48</f>
        <v/>
      </c>
      <c r="L6" s="410">
        <f>'Plan-GuV'!L48</f>
        <v/>
      </c>
      <c r="M6" s="410">
        <f>'Plan-GuV'!M48</f>
        <v/>
      </c>
      <c r="N6" s="410">
        <f>'Plan-GuV'!N48</f>
        <v/>
      </c>
      <c r="O6" s="410">
        <f>'Plan-GuV'!O48</f>
        <v/>
      </c>
      <c r="P6" s="410">
        <f>'Plan-GuV'!P48</f>
        <v/>
      </c>
      <c r="Q6" s="410">
        <f>'Plan-GuV'!Q48</f>
        <v/>
      </c>
      <c r="R6" s="410">
        <f>'Plan-GuV'!R48</f>
        <v/>
      </c>
      <c r="S6" s="410">
        <f>'Plan-GuV'!S48</f>
        <v/>
      </c>
      <c r="T6" s="410">
        <f>'Plan-GuV'!T48</f>
        <v/>
      </c>
      <c r="U6" s="410">
        <f>'Plan-GuV'!U48</f>
        <v/>
      </c>
      <c r="V6" s="410">
        <f>'Plan-GuV'!V48</f>
        <v/>
      </c>
      <c r="W6" s="410">
        <f>'Plan-GuV'!W48</f>
        <v/>
      </c>
      <c r="X6" s="410">
        <f>'Plan-GuV'!X48</f>
        <v/>
      </c>
      <c r="Y6" s="410">
        <f>'Plan-GuV'!Y48</f>
        <v/>
      </c>
      <c r="Z6" s="410">
        <f>'Plan-GuV'!Z48</f>
        <v/>
      </c>
      <c r="AA6" s="410">
        <f>'Plan-GuV'!AA48</f>
        <v/>
      </c>
      <c r="AB6" s="410">
        <f>'Plan-GuV'!AB48</f>
        <v/>
      </c>
      <c r="AC6" s="410">
        <f>'Plan-GuV'!AC48</f>
        <v/>
      </c>
      <c r="AD6" s="410">
        <f>'Plan-GuV'!AD48</f>
        <v/>
      </c>
      <c r="AE6" s="410">
        <f>'Plan-GuV'!AE48</f>
        <v/>
      </c>
      <c r="AF6" s="410">
        <f>'Plan-GuV'!AF48</f>
        <v/>
      </c>
      <c r="AG6" s="410">
        <f>'Plan-GuV'!AG48</f>
        <v/>
      </c>
      <c r="AH6" s="410">
        <f>'Plan-GuV'!AH48</f>
        <v/>
      </c>
      <c r="AI6" s="410">
        <f>'Plan-GuV'!AI48</f>
        <v/>
      </c>
      <c r="AJ6" s="410">
        <f>'Plan-GuV'!AJ48</f>
        <v/>
      </c>
      <c r="AK6" s="410">
        <f>'Plan-GuV'!AK48</f>
        <v/>
      </c>
      <c r="AL6" s="410">
        <f>'Plan-GuV'!AL48</f>
        <v/>
      </c>
      <c r="AM6" s="410">
        <f>'Plan-GuV'!AM48</f>
        <v/>
      </c>
      <c r="AN6" s="324">
        <f>SUM(D6:O6)</f>
        <v/>
      </c>
      <c r="AO6" s="324">
        <f>SUM(P6:AA6)</f>
        <v/>
      </c>
      <c r="AP6" s="324">
        <f>SUM(AB6:AM6)</f>
        <v/>
      </c>
      <c r="AQ6" s="410">
        <f>'Plan-GuV'!AQ48</f>
        <v/>
      </c>
      <c r="AR6" s="410">
        <f>'Plan-GuV'!AR48</f>
        <v/>
      </c>
      <c r="AS6" s="410">
        <f>'Plan-GuV'!AS48</f>
        <v/>
      </c>
      <c r="AT6" s="410">
        <f>'Plan-GuV'!AT48</f>
        <v/>
      </c>
      <c r="AU6" s="410">
        <f>'Plan-GuV'!AU48</f>
        <v/>
      </c>
      <c r="AV6" s="410">
        <f>'Plan-GuV'!AV48</f>
        <v/>
      </c>
      <c r="AW6" s="410">
        <f>'Plan-GuV'!AW48</f>
        <v/>
      </c>
      <c r="AX6" s="410">
        <f>'Plan-GuV'!AX48</f>
        <v/>
      </c>
      <c r="AY6" s="324">
        <f>SUM(AQ6:AT6)</f>
        <v/>
      </c>
      <c r="AZ6" s="324">
        <f>SUM(AU6:AX6)</f>
        <v/>
      </c>
    </row>
    <row r="7" ht="15" customHeight="1">
      <c r="B7" s="314" t="inlineStr">
        <is>
          <t>+ Abschreibungen (AfA)</t>
        </is>
      </c>
      <c r="D7" s="323">
        <f>-'Plan-GuV'!D18</f>
        <v/>
      </c>
      <c r="E7" s="323">
        <f>-'Plan-GuV'!E18</f>
        <v/>
      </c>
      <c r="F7" s="323">
        <f>-'Plan-GuV'!F18</f>
        <v/>
      </c>
      <c r="G7" s="323">
        <f>-'Plan-GuV'!G18</f>
        <v/>
      </c>
      <c r="H7" s="323">
        <f>-'Plan-GuV'!H18</f>
        <v/>
      </c>
      <c r="I7" s="323">
        <f>-'Plan-GuV'!I18</f>
        <v/>
      </c>
      <c r="J7" s="323">
        <f>-'Plan-GuV'!J18</f>
        <v/>
      </c>
      <c r="K7" s="323">
        <f>-'Plan-GuV'!K18</f>
        <v/>
      </c>
      <c r="L7" s="323">
        <f>-'Plan-GuV'!L18</f>
        <v/>
      </c>
      <c r="M7" s="323">
        <f>-'Plan-GuV'!M18</f>
        <v/>
      </c>
      <c r="N7" s="323">
        <f>-'Plan-GuV'!N18</f>
        <v/>
      </c>
      <c r="O7" s="323">
        <f>-'Plan-GuV'!O18</f>
        <v/>
      </c>
      <c r="P7" s="323">
        <f>-'Plan-GuV'!P18</f>
        <v/>
      </c>
      <c r="Q7" s="323">
        <f>-'Plan-GuV'!Q18</f>
        <v/>
      </c>
      <c r="R7" s="323">
        <f>-'Plan-GuV'!R18</f>
        <v/>
      </c>
      <c r="S7" s="323">
        <f>-'Plan-GuV'!S18</f>
        <v/>
      </c>
      <c r="T7" s="323">
        <f>-'Plan-GuV'!T18</f>
        <v/>
      </c>
      <c r="U7" s="323">
        <f>-'Plan-GuV'!U18</f>
        <v/>
      </c>
      <c r="V7" s="323">
        <f>-'Plan-GuV'!V18</f>
        <v/>
      </c>
      <c r="W7" s="323">
        <f>-'Plan-GuV'!W18</f>
        <v/>
      </c>
      <c r="X7" s="323">
        <f>-'Plan-GuV'!X18</f>
        <v/>
      </c>
      <c r="Y7" s="323">
        <f>-'Plan-GuV'!Y18</f>
        <v/>
      </c>
      <c r="Z7" s="323">
        <f>-'Plan-GuV'!Z18</f>
        <v/>
      </c>
      <c r="AA7" s="323">
        <f>-'Plan-GuV'!AA18</f>
        <v/>
      </c>
      <c r="AB7" s="323">
        <f>-'Plan-GuV'!AB18</f>
        <v/>
      </c>
      <c r="AC7" s="323">
        <f>-'Plan-GuV'!AC18</f>
        <v/>
      </c>
      <c r="AD7" s="323">
        <f>-'Plan-GuV'!AD18</f>
        <v/>
      </c>
      <c r="AE7" s="323">
        <f>-'Plan-GuV'!AE18</f>
        <v/>
      </c>
      <c r="AF7" s="323">
        <f>-'Plan-GuV'!AF18</f>
        <v/>
      </c>
      <c r="AG7" s="323">
        <f>-'Plan-GuV'!AG18</f>
        <v/>
      </c>
      <c r="AH7" s="323">
        <f>-'Plan-GuV'!AH18</f>
        <v/>
      </c>
      <c r="AI7" s="323">
        <f>-'Plan-GuV'!AI18</f>
        <v/>
      </c>
      <c r="AJ7" s="323">
        <f>-'Plan-GuV'!AJ18</f>
        <v/>
      </c>
      <c r="AK7" s="323">
        <f>-'Plan-GuV'!AK18</f>
        <v/>
      </c>
      <c r="AL7" s="323">
        <f>-'Plan-GuV'!AL18</f>
        <v/>
      </c>
      <c r="AM7" s="323">
        <f>-'Plan-GuV'!AM18</f>
        <v/>
      </c>
      <c r="AN7" s="324">
        <f>SUM(D7:O7)</f>
        <v/>
      </c>
      <c r="AO7" s="324">
        <f>SUM(P7:AA7)</f>
        <v/>
      </c>
      <c r="AP7" s="324">
        <f>SUM(AB7:AM7)</f>
        <v/>
      </c>
      <c r="AQ7" s="323">
        <f>-'Plan-GuV'!AQ18</f>
        <v/>
      </c>
      <c r="AR7" s="323">
        <f>-'Plan-GuV'!AR18</f>
        <v/>
      </c>
      <c r="AS7" s="323">
        <f>-'Plan-GuV'!AS18</f>
        <v/>
      </c>
      <c r="AT7" s="323">
        <f>-'Plan-GuV'!AT18</f>
        <v/>
      </c>
      <c r="AU7" s="323">
        <f>-'Plan-GuV'!AU18</f>
        <v/>
      </c>
      <c r="AV7" s="323">
        <f>-'Plan-GuV'!AV18</f>
        <v/>
      </c>
      <c r="AW7" s="323">
        <f>-'Plan-GuV'!AW18</f>
        <v/>
      </c>
      <c r="AX7" s="323">
        <f>-'Plan-GuV'!AX18</f>
        <v/>
      </c>
      <c r="AY7" s="324">
        <f>SUM(AQ7:AT7)</f>
        <v/>
      </c>
      <c r="AZ7" s="324">
        <f>SUM(AU7:AX7)</f>
        <v/>
      </c>
    </row>
    <row r="8" ht="15" customHeight="1">
      <c r="B8" s="406" t="inlineStr">
        <is>
          <t>Δ Working Capital</t>
        </is>
      </c>
      <c r="D8" s="410">
        <f>-('Plan-Bilanz'!D14+'Plan-Bilanz'!D15-'Plan-Bilanz'!D32)</f>
        <v/>
      </c>
      <c r="E8" s="410">
        <f>-(('Plan-Bilanz'!E14+'Plan-Bilanz'!E15-'Plan-Bilanz'!E32)-('Plan-Bilanz'!D14+'Plan-Bilanz'!D15-'Plan-Bilanz'!D32))</f>
        <v/>
      </c>
      <c r="F8" s="410">
        <f>-(('Plan-Bilanz'!F14+'Plan-Bilanz'!F15-'Plan-Bilanz'!F32)-('Plan-Bilanz'!E14+'Plan-Bilanz'!E15-'Plan-Bilanz'!E32))</f>
        <v/>
      </c>
      <c r="G8" s="410">
        <f>-(('Plan-Bilanz'!G14+'Plan-Bilanz'!G15-'Plan-Bilanz'!G32)-('Plan-Bilanz'!F14+'Plan-Bilanz'!F15-'Plan-Bilanz'!F32))</f>
        <v/>
      </c>
      <c r="H8" s="410">
        <f>-(('Plan-Bilanz'!H14+'Plan-Bilanz'!H15-'Plan-Bilanz'!H32)-('Plan-Bilanz'!G14+'Plan-Bilanz'!G15-'Plan-Bilanz'!G32))</f>
        <v/>
      </c>
      <c r="I8" s="410">
        <f>-(('Plan-Bilanz'!I14+'Plan-Bilanz'!I15-'Plan-Bilanz'!I32)-('Plan-Bilanz'!H14+'Plan-Bilanz'!H15-'Plan-Bilanz'!H32))</f>
        <v/>
      </c>
      <c r="J8" s="410">
        <f>-(('Plan-Bilanz'!J14+'Plan-Bilanz'!J15-'Plan-Bilanz'!J32)-('Plan-Bilanz'!I14+'Plan-Bilanz'!I15-'Plan-Bilanz'!I32))</f>
        <v/>
      </c>
      <c r="K8" s="410">
        <f>-(('Plan-Bilanz'!K14+'Plan-Bilanz'!K15-'Plan-Bilanz'!K32)-('Plan-Bilanz'!J14+'Plan-Bilanz'!J15-'Plan-Bilanz'!J32))</f>
        <v/>
      </c>
      <c r="L8" s="410">
        <f>-(('Plan-Bilanz'!L14+'Plan-Bilanz'!L15-'Plan-Bilanz'!L32)-('Plan-Bilanz'!K14+'Plan-Bilanz'!K15-'Plan-Bilanz'!K32))</f>
        <v/>
      </c>
      <c r="M8" s="410">
        <f>-(('Plan-Bilanz'!M14+'Plan-Bilanz'!M15-'Plan-Bilanz'!M32)-('Plan-Bilanz'!L14+'Plan-Bilanz'!L15-'Plan-Bilanz'!L32))</f>
        <v/>
      </c>
      <c r="N8" s="410">
        <f>-(('Plan-Bilanz'!N14+'Plan-Bilanz'!N15-'Plan-Bilanz'!N32)-('Plan-Bilanz'!M14+'Plan-Bilanz'!M15-'Plan-Bilanz'!M32))</f>
        <v/>
      </c>
      <c r="O8" s="410">
        <f>-(('Plan-Bilanz'!O14+'Plan-Bilanz'!O15-'Plan-Bilanz'!O32)-('Plan-Bilanz'!N14+'Plan-Bilanz'!N15-'Plan-Bilanz'!N32))</f>
        <v/>
      </c>
      <c r="P8" s="410">
        <f>-(('Plan-Bilanz'!P14+'Plan-Bilanz'!P15-'Plan-Bilanz'!P32)-('Plan-Bilanz'!O14+'Plan-Bilanz'!O15-'Plan-Bilanz'!O32))</f>
        <v/>
      </c>
      <c r="Q8" s="410">
        <f>-(('Plan-Bilanz'!Q14+'Plan-Bilanz'!Q15-'Plan-Bilanz'!Q32)-('Plan-Bilanz'!P14+'Plan-Bilanz'!P15-'Plan-Bilanz'!P32))</f>
        <v/>
      </c>
      <c r="R8" s="410">
        <f>-(('Plan-Bilanz'!R14+'Plan-Bilanz'!R15-'Plan-Bilanz'!R32)-('Plan-Bilanz'!Q14+'Plan-Bilanz'!Q15-'Plan-Bilanz'!Q32))</f>
        <v/>
      </c>
      <c r="S8" s="410">
        <f>-(('Plan-Bilanz'!S14+'Plan-Bilanz'!S15-'Plan-Bilanz'!S32)-('Plan-Bilanz'!R14+'Plan-Bilanz'!R15-'Plan-Bilanz'!R32))</f>
        <v/>
      </c>
      <c r="T8" s="410">
        <f>-(('Plan-Bilanz'!T14+'Plan-Bilanz'!T15-'Plan-Bilanz'!T32)-('Plan-Bilanz'!S14+'Plan-Bilanz'!S15-'Plan-Bilanz'!S32))</f>
        <v/>
      </c>
      <c r="U8" s="410">
        <f>-(('Plan-Bilanz'!U14+'Plan-Bilanz'!U15-'Plan-Bilanz'!U32)-('Plan-Bilanz'!T14+'Plan-Bilanz'!T15-'Plan-Bilanz'!T32))</f>
        <v/>
      </c>
      <c r="V8" s="410">
        <f>-(('Plan-Bilanz'!V14+'Plan-Bilanz'!V15-'Plan-Bilanz'!V32)-('Plan-Bilanz'!U14+'Plan-Bilanz'!U15-'Plan-Bilanz'!U32))</f>
        <v/>
      </c>
      <c r="W8" s="410">
        <f>-(('Plan-Bilanz'!W14+'Plan-Bilanz'!W15-'Plan-Bilanz'!W32)-('Plan-Bilanz'!V14+'Plan-Bilanz'!V15-'Plan-Bilanz'!V32))</f>
        <v/>
      </c>
      <c r="X8" s="410">
        <f>-(('Plan-Bilanz'!X14+'Plan-Bilanz'!X15-'Plan-Bilanz'!X32)-('Plan-Bilanz'!W14+'Plan-Bilanz'!W15-'Plan-Bilanz'!W32))</f>
        <v/>
      </c>
      <c r="Y8" s="410">
        <f>-(('Plan-Bilanz'!Y14+'Plan-Bilanz'!Y15-'Plan-Bilanz'!Y32)-('Plan-Bilanz'!X14+'Plan-Bilanz'!X15-'Plan-Bilanz'!X32))</f>
        <v/>
      </c>
      <c r="Z8" s="410">
        <f>-(('Plan-Bilanz'!Z14+'Plan-Bilanz'!Z15-'Plan-Bilanz'!Z32)-('Plan-Bilanz'!Y14+'Plan-Bilanz'!Y15-'Plan-Bilanz'!Y32))</f>
        <v/>
      </c>
      <c r="AA8" s="410">
        <f>-(('Plan-Bilanz'!AA14+'Plan-Bilanz'!AA15-'Plan-Bilanz'!AA32)-('Plan-Bilanz'!Z14+'Plan-Bilanz'!Z15-'Plan-Bilanz'!Z32))</f>
        <v/>
      </c>
      <c r="AB8" s="410">
        <f>-(('Plan-Bilanz'!AB14+'Plan-Bilanz'!AB15-'Plan-Bilanz'!AB32)-('Plan-Bilanz'!AA14+'Plan-Bilanz'!AA15-'Plan-Bilanz'!AA32))</f>
        <v/>
      </c>
      <c r="AC8" s="410">
        <f>-(('Plan-Bilanz'!AC14+'Plan-Bilanz'!AC15-'Plan-Bilanz'!AC32)-('Plan-Bilanz'!AB14+'Plan-Bilanz'!AB15-'Plan-Bilanz'!AB32))</f>
        <v/>
      </c>
      <c r="AD8" s="410">
        <f>-(('Plan-Bilanz'!AD14+'Plan-Bilanz'!AD15-'Plan-Bilanz'!AD32)-('Plan-Bilanz'!AC14+'Plan-Bilanz'!AC15-'Plan-Bilanz'!AC32))</f>
        <v/>
      </c>
      <c r="AE8" s="410">
        <f>-(('Plan-Bilanz'!AE14+'Plan-Bilanz'!AE15-'Plan-Bilanz'!AE32)-('Plan-Bilanz'!AD14+'Plan-Bilanz'!AD15-'Plan-Bilanz'!AD32))</f>
        <v/>
      </c>
      <c r="AF8" s="410">
        <f>-(('Plan-Bilanz'!AF14+'Plan-Bilanz'!AF15-'Plan-Bilanz'!AF32)-('Plan-Bilanz'!AE14+'Plan-Bilanz'!AE15-'Plan-Bilanz'!AE32))</f>
        <v/>
      </c>
      <c r="AG8" s="410">
        <f>-(('Plan-Bilanz'!AG14+'Plan-Bilanz'!AG15-'Plan-Bilanz'!AG32)-('Plan-Bilanz'!AF14+'Plan-Bilanz'!AF15-'Plan-Bilanz'!AF32))</f>
        <v/>
      </c>
      <c r="AH8" s="410">
        <f>-(('Plan-Bilanz'!AH14+'Plan-Bilanz'!AH15-'Plan-Bilanz'!AH32)-('Plan-Bilanz'!AG14+'Plan-Bilanz'!AG15-'Plan-Bilanz'!AG32))</f>
        <v/>
      </c>
      <c r="AI8" s="410">
        <f>-(('Plan-Bilanz'!AI14+'Plan-Bilanz'!AI15-'Plan-Bilanz'!AI32)-('Plan-Bilanz'!AH14+'Plan-Bilanz'!AH15-'Plan-Bilanz'!AH32))</f>
        <v/>
      </c>
      <c r="AJ8" s="410">
        <f>-(('Plan-Bilanz'!AJ14+'Plan-Bilanz'!AJ15-'Plan-Bilanz'!AJ32)-('Plan-Bilanz'!AI14+'Plan-Bilanz'!AI15-'Plan-Bilanz'!AI32))</f>
        <v/>
      </c>
      <c r="AK8" s="410">
        <f>-(('Plan-Bilanz'!AK14+'Plan-Bilanz'!AK15-'Plan-Bilanz'!AK32)-('Plan-Bilanz'!AJ14+'Plan-Bilanz'!AJ15-'Plan-Bilanz'!AJ32))</f>
        <v/>
      </c>
      <c r="AL8" s="410">
        <f>-(('Plan-Bilanz'!AL14+'Plan-Bilanz'!AL15-'Plan-Bilanz'!AL32)-('Plan-Bilanz'!AK14+'Plan-Bilanz'!AK15-'Plan-Bilanz'!AK32))</f>
        <v/>
      </c>
      <c r="AM8" s="410">
        <f>-(('Plan-Bilanz'!AM14+'Plan-Bilanz'!AM15-'Plan-Bilanz'!AM32)-('Plan-Bilanz'!AL14+'Plan-Bilanz'!AL15-'Plan-Bilanz'!AL32))</f>
        <v/>
      </c>
      <c r="AN8" s="324">
        <f>SUM(D8:O8)</f>
        <v/>
      </c>
      <c r="AO8" s="324">
        <f>SUM(P8:AA8)</f>
        <v/>
      </c>
      <c r="AP8" s="324">
        <f>SUM(AB8:AM8)</f>
        <v/>
      </c>
      <c r="AQ8" s="410">
        <f>-(('Plan-Bilanz'!AQ14+'Plan-Bilanz'!AQ15-'Plan-Bilanz'!AQ32)-('Plan-Bilanz'!AM14+'Plan-Bilanz'!AM15-'Plan-Bilanz'!AM32))</f>
        <v/>
      </c>
      <c r="AR8" s="410">
        <f>-(('Plan-Bilanz'!AR14+'Plan-Bilanz'!AR15-'Plan-Bilanz'!AR32)-('Plan-Bilanz'!AQ14+'Plan-Bilanz'!AQ15-'Plan-Bilanz'!AQ32))</f>
        <v/>
      </c>
      <c r="AS8" s="410">
        <f>-(('Plan-Bilanz'!AS14+'Plan-Bilanz'!AS15-'Plan-Bilanz'!AS32)-('Plan-Bilanz'!AR14+'Plan-Bilanz'!AR15-'Plan-Bilanz'!AR32))</f>
        <v/>
      </c>
      <c r="AT8" s="410">
        <f>-(('Plan-Bilanz'!AT14+'Plan-Bilanz'!AT15-'Plan-Bilanz'!AT32)-('Plan-Bilanz'!AS14+'Plan-Bilanz'!AS15-'Plan-Bilanz'!AS32))</f>
        <v/>
      </c>
      <c r="AU8" s="410">
        <f>-(('Plan-Bilanz'!AU14+'Plan-Bilanz'!AU15-'Plan-Bilanz'!AU32)-('Plan-Bilanz'!AT14+'Plan-Bilanz'!AT15-'Plan-Bilanz'!AT32))</f>
        <v/>
      </c>
      <c r="AV8" s="410">
        <f>-(('Plan-Bilanz'!AV14+'Plan-Bilanz'!AV15-'Plan-Bilanz'!AV32)-('Plan-Bilanz'!AU14+'Plan-Bilanz'!AU15-'Plan-Bilanz'!AU32))</f>
        <v/>
      </c>
      <c r="AW8" s="410">
        <f>-(('Plan-Bilanz'!AW14+'Plan-Bilanz'!AW15-'Plan-Bilanz'!AW32)-('Plan-Bilanz'!AV14+'Plan-Bilanz'!AV15-'Plan-Bilanz'!AV32))</f>
        <v/>
      </c>
      <c r="AX8" s="410">
        <f>-(('Plan-Bilanz'!AX14+'Plan-Bilanz'!AX15-'Plan-Bilanz'!AX32)-('Plan-Bilanz'!AW14+'Plan-Bilanz'!AW15-'Plan-Bilanz'!AW32))</f>
        <v/>
      </c>
      <c r="AY8" s="324">
        <f>SUM(AQ8:AT8)</f>
        <v/>
      </c>
      <c r="AZ8" s="324">
        <f>SUM(AU8:AX8)</f>
        <v/>
      </c>
    </row>
    <row r="9" ht="15" customHeight="1">
      <c r="B9" s="314" t="inlineStr">
        <is>
          <t>Operativer Cashflow</t>
        </is>
      </c>
      <c r="D9" s="323">
        <f>D6+D7+D8</f>
        <v/>
      </c>
      <c r="E9" s="323">
        <f>E6+E7+E8</f>
        <v/>
      </c>
      <c r="F9" s="323">
        <f>F6+F7+F8</f>
        <v/>
      </c>
      <c r="G9" s="323">
        <f>G6+G7+G8</f>
        <v/>
      </c>
      <c r="H9" s="323">
        <f>H6+H7+H8</f>
        <v/>
      </c>
      <c r="I9" s="323">
        <f>I6+I7+I8</f>
        <v/>
      </c>
      <c r="J9" s="323">
        <f>J6+J7+J8</f>
        <v/>
      </c>
      <c r="K9" s="323">
        <f>K6+K7+K8</f>
        <v/>
      </c>
      <c r="L9" s="323">
        <f>L6+L7+L8</f>
        <v/>
      </c>
      <c r="M9" s="323">
        <f>M6+M7+M8</f>
        <v/>
      </c>
      <c r="N9" s="323">
        <f>N6+N7+N8</f>
        <v/>
      </c>
      <c r="O9" s="323">
        <f>O6+O7+O8</f>
        <v/>
      </c>
      <c r="P9" s="323">
        <f>P6+P7+P8</f>
        <v/>
      </c>
      <c r="Q9" s="323">
        <f>Q6+Q7+Q8</f>
        <v/>
      </c>
      <c r="R9" s="323">
        <f>R6+R7+R8</f>
        <v/>
      </c>
      <c r="S9" s="323">
        <f>S6+S7+S8</f>
        <v/>
      </c>
      <c r="T9" s="323">
        <f>T6+T7+T8</f>
        <v/>
      </c>
      <c r="U9" s="323">
        <f>U6+U7+U8</f>
        <v/>
      </c>
      <c r="V9" s="323">
        <f>V6+V7+V8</f>
        <v/>
      </c>
      <c r="W9" s="323">
        <f>W6+W7+W8</f>
        <v/>
      </c>
      <c r="X9" s="323">
        <f>X6+X7+X8</f>
        <v/>
      </c>
      <c r="Y9" s="323">
        <f>Y6+Y7+Y8</f>
        <v/>
      </c>
      <c r="Z9" s="323">
        <f>Z6+Z7+Z8</f>
        <v/>
      </c>
      <c r="AA9" s="323">
        <f>AA6+AA7+AA8</f>
        <v/>
      </c>
      <c r="AB9" s="323">
        <f>AB6+AB7+AB8</f>
        <v/>
      </c>
      <c r="AC9" s="323">
        <f>AC6+AC7+AC8</f>
        <v/>
      </c>
      <c r="AD9" s="323">
        <f>AD6+AD7+AD8</f>
        <v/>
      </c>
      <c r="AE9" s="323">
        <f>AE6+AE7+AE8</f>
        <v/>
      </c>
      <c r="AF9" s="323">
        <f>AF6+AF7+AF8</f>
        <v/>
      </c>
      <c r="AG9" s="323">
        <f>AG6+AG7+AG8</f>
        <v/>
      </c>
      <c r="AH9" s="323">
        <f>AH6+AH7+AH8</f>
        <v/>
      </c>
      <c r="AI9" s="323">
        <f>AI6+AI7+AI8</f>
        <v/>
      </c>
      <c r="AJ9" s="323">
        <f>AJ6+AJ7+AJ8</f>
        <v/>
      </c>
      <c r="AK9" s="323">
        <f>AK6+AK7+AK8</f>
        <v/>
      </c>
      <c r="AL9" s="323">
        <f>AL6+AL7+AL8</f>
        <v/>
      </c>
      <c r="AM9" s="323">
        <f>AM6+AM7+AM8</f>
        <v/>
      </c>
      <c r="AN9" s="323">
        <f>SUM(D9:O9)</f>
        <v/>
      </c>
      <c r="AO9" s="323">
        <f>SUM(P9:AA9)</f>
        <v/>
      </c>
      <c r="AP9" s="323">
        <f>SUM(AB9:AM9)</f>
        <v/>
      </c>
      <c r="AQ9" s="323">
        <f>AQ6+AQ7+AQ8</f>
        <v/>
      </c>
      <c r="AR9" s="323">
        <f>AR6+AR7+AR8</f>
        <v/>
      </c>
      <c r="AS9" s="323">
        <f>AS6+AS7+AS8</f>
        <v/>
      </c>
      <c r="AT9" s="323">
        <f>AT6+AT7+AT8</f>
        <v/>
      </c>
      <c r="AU9" s="323">
        <f>AU6+AU7+AU8</f>
        <v/>
      </c>
      <c r="AV9" s="323">
        <f>AV6+AV7+AV8</f>
        <v/>
      </c>
      <c r="AW9" s="323">
        <f>AW6+AW7+AW8</f>
        <v/>
      </c>
      <c r="AX9" s="323">
        <f>AX6+AX7+AX8</f>
        <v/>
      </c>
      <c r="AY9" s="323">
        <f>SUM(AQ9:AT9)</f>
        <v/>
      </c>
      <c r="AZ9" s="323">
        <f>SUM(AU9:AX9)</f>
        <v/>
      </c>
    </row>
    <row r="10" ht="15" customHeight="1">
      <c r="B10" s="406" t="inlineStr">
        <is>
          <t>Operative CF-Marge (%)</t>
        </is>
      </c>
      <c r="D10" s="409">
        <f>IF('Plan-GuV'!D11=0,"",D9/'Plan-GuV'!D11)</f>
        <v/>
      </c>
      <c r="E10" s="409">
        <f>IF('Plan-GuV'!E11=0,"",E9/'Plan-GuV'!E11)</f>
        <v/>
      </c>
      <c r="F10" s="409">
        <f>IF('Plan-GuV'!F11=0,"",F9/'Plan-GuV'!F11)</f>
        <v/>
      </c>
      <c r="G10" s="409">
        <f>IF('Plan-GuV'!G11=0,"",G9/'Plan-GuV'!G11)</f>
        <v/>
      </c>
      <c r="H10" s="409">
        <f>IF('Plan-GuV'!H11=0,"",H9/'Plan-GuV'!H11)</f>
        <v/>
      </c>
      <c r="I10" s="409">
        <f>IF('Plan-GuV'!I11=0,"",I9/'Plan-GuV'!I11)</f>
        <v/>
      </c>
      <c r="J10" s="409">
        <f>IF('Plan-GuV'!J11=0,"",J9/'Plan-GuV'!J11)</f>
        <v/>
      </c>
      <c r="K10" s="409">
        <f>IF('Plan-GuV'!K11=0,"",K9/'Plan-GuV'!K11)</f>
        <v/>
      </c>
      <c r="L10" s="409">
        <f>IF('Plan-GuV'!L11=0,"",L9/'Plan-GuV'!L11)</f>
        <v/>
      </c>
      <c r="M10" s="409">
        <f>IF('Plan-GuV'!M11=0,"",M9/'Plan-GuV'!M11)</f>
        <v/>
      </c>
      <c r="N10" s="409">
        <f>IF('Plan-GuV'!N11=0,"",N9/'Plan-GuV'!N11)</f>
        <v/>
      </c>
      <c r="O10" s="409">
        <f>IF('Plan-GuV'!O11=0,"",O9/'Plan-GuV'!O11)</f>
        <v/>
      </c>
      <c r="P10" s="409">
        <f>IF('Plan-GuV'!P11=0,"",P9/'Plan-GuV'!P11)</f>
        <v/>
      </c>
      <c r="Q10" s="409">
        <f>IF('Plan-GuV'!Q11=0,"",Q9/'Plan-GuV'!Q11)</f>
        <v/>
      </c>
      <c r="R10" s="409">
        <f>IF('Plan-GuV'!R11=0,"",R9/'Plan-GuV'!R11)</f>
        <v/>
      </c>
      <c r="S10" s="409">
        <f>IF('Plan-GuV'!S11=0,"",S9/'Plan-GuV'!S11)</f>
        <v/>
      </c>
      <c r="T10" s="409">
        <f>IF('Plan-GuV'!T11=0,"",T9/'Plan-GuV'!T11)</f>
        <v/>
      </c>
      <c r="U10" s="409">
        <f>IF('Plan-GuV'!U11=0,"",U9/'Plan-GuV'!U11)</f>
        <v/>
      </c>
      <c r="V10" s="409">
        <f>IF('Plan-GuV'!V11=0,"",V9/'Plan-GuV'!V11)</f>
        <v/>
      </c>
      <c r="W10" s="409">
        <f>IF('Plan-GuV'!W11=0,"",W9/'Plan-GuV'!W11)</f>
        <v/>
      </c>
      <c r="X10" s="409">
        <f>IF('Plan-GuV'!X11=0,"",X9/'Plan-GuV'!X11)</f>
        <v/>
      </c>
      <c r="Y10" s="409">
        <f>IF('Plan-GuV'!Y11=0,"",Y9/'Plan-GuV'!Y11)</f>
        <v/>
      </c>
      <c r="Z10" s="409">
        <f>IF('Plan-GuV'!Z11=0,"",Z9/'Plan-GuV'!Z11)</f>
        <v/>
      </c>
      <c r="AA10" s="409">
        <f>IF('Plan-GuV'!AA11=0,"",AA9/'Plan-GuV'!AA11)</f>
        <v/>
      </c>
      <c r="AB10" s="409">
        <f>IF('Plan-GuV'!AB11=0,"",AB9/'Plan-GuV'!AB11)</f>
        <v/>
      </c>
      <c r="AC10" s="409">
        <f>IF('Plan-GuV'!AC11=0,"",AC9/'Plan-GuV'!AC11)</f>
        <v/>
      </c>
      <c r="AD10" s="409">
        <f>IF('Plan-GuV'!AD11=0,"",AD9/'Plan-GuV'!AD11)</f>
        <v/>
      </c>
      <c r="AE10" s="409">
        <f>IF('Plan-GuV'!AE11=0,"",AE9/'Plan-GuV'!AE11)</f>
        <v/>
      </c>
      <c r="AF10" s="409">
        <f>IF('Plan-GuV'!AF11=0,"",AF9/'Plan-GuV'!AF11)</f>
        <v/>
      </c>
      <c r="AG10" s="409">
        <f>IF('Plan-GuV'!AG11=0,"",AG9/'Plan-GuV'!AG11)</f>
        <v/>
      </c>
      <c r="AH10" s="409">
        <f>IF('Plan-GuV'!AH11=0,"",AH9/'Plan-GuV'!AH11)</f>
        <v/>
      </c>
      <c r="AI10" s="409">
        <f>IF('Plan-GuV'!AI11=0,"",AI9/'Plan-GuV'!AI11)</f>
        <v/>
      </c>
      <c r="AJ10" s="409">
        <f>IF('Plan-GuV'!AJ11=0,"",AJ9/'Plan-GuV'!AJ11)</f>
        <v/>
      </c>
      <c r="AK10" s="409">
        <f>IF('Plan-GuV'!AK11=0,"",AK9/'Plan-GuV'!AK11)</f>
        <v/>
      </c>
      <c r="AL10" s="409">
        <f>IF('Plan-GuV'!AL11=0,"",AL9/'Plan-GuV'!AL11)</f>
        <v/>
      </c>
      <c r="AM10" s="409">
        <f>IF('Plan-GuV'!AM11=0,"",AM9/'Plan-GuV'!AM11)</f>
        <v/>
      </c>
      <c r="AN10" s="409">
        <f>IF('Plan-GuV'!AN11=0,"",AN9/'Plan-GuV'!AN11)</f>
        <v/>
      </c>
      <c r="AO10" s="409">
        <f>IF('Plan-GuV'!AO11=0,"",AO9/'Plan-GuV'!AO11)</f>
        <v/>
      </c>
      <c r="AP10" s="409">
        <f>IF('Plan-GuV'!AP11=0,"",AP9/'Plan-GuV'!AP11)</f>
        <v/>
      </c>
      <c r="AQ10" s="409">
        <f>IF('Plan-GuV'!AQ11=0,"",AQ9/'Plan-GuV'!AQ11)</f>
        <v/>
      </c>
      <c r="AR10" s="409">
        <f>IF('Plan-GuV'!AR11=0,"",AR9/'Plan-GuV'!AR11)</f>
        <v/>
      </c>
      <c r="AS10" s="409">
        <f>IF('Plan-GuV'!AS11=0,"",AS9/'Plan-GuV'!AS11)</f>
        <v/>
      </c>
      <c r="AT10" s="409">
        <f>IF('Plan-GuV'!AT11=0,"",AT9/'Plan-GuV'!AT11)</f>
        <v/>
      </c>
      <c r="AU10" s="409">
        <f>IF('Plan-GuV'!AU11=0,"",AU9/'Plan-GuV'!AU11)</f>
        <v/>
      </c>
      <c r="AV10" s="409">
        <f>IF('Plan-GuV'!AV11=0,"",AV9/'Plan-GuV'!AV11)</f>
        <v/>
      </c>
      <c r="AW10" s="409">
        <f>IF('Plan-GuV'!AW11=0,"",AW9/'Plan-GuV'!AW11)</f>
        <v/>
      </c>
      <c r="AX10" s="409">
        <f>IF('Plan-GuV'!AX11=0,"",AX9/'Plan-GuV'!AX11)</f>
        <v/>
      </c>
      <c r="AY10" s="409">
        <f>IF('Plan-GuV'!AY11=0,"",AY9/'Plan-GuV'!AY11)</f>
        <v/>
      </c>
      <c r="AZ10" s="409">
        <f>IF('Plan-GuV'!AZ11=0,"",AZ9/'Plan-GuV'!AZ11)</f>
        <v/>
      </c>
    </row>
    <row r="11" ht="15" customHeight="1">
      <c r="B11" s="314" t="inlineStr">
        <is>
          <t>B. INVESTITIONS-CASHFLOW</t>
        </is>
      </c>
    </row>
    <row r="12" ht="15" customHeight="1">
      <c r="B12" s="406" t="inlineStr">
        <is>
          <t>CAPEX</t>
        </is>
      </c>
      <c r="D12" s="410">
        <f>-CAPEX!$C$20</f>
        <v/>
      </c>
      <c r="E12" s="410">
        <f>-Modellsteuerung!E31</f>
        <v/>
      </c>
      <c r="F12" s="410">
        <f>-Modellsteuerung!F31</f>
        <v/>
      </c>
      <c r="G12" s="410">
        <f>-Modellsteuerung!G31</f>
        <v/>
      </c>
      <c r="H12" s="410">
        <f>-Modellsteuerung!H31</f>
        <v/>
      </c>
      <c r="I12" s="410">
        <f>-Modellsteuerung!I31</f>
        <v/>
      </c>
      <c r="J12" s="410">
        <f>-Modellsteuerung!J31</f>
        <v/>
      </c>
      <c r="K12" s="410">
        <f>-Modellsteuerung!K31</f>
        <v/>
      </c>
      <c r="L12" s="410">
        <f>-Modellsteuerung!L31</f>
        <v/>
      </c>
      <c r="M12" s="410">
        <f>-Modellsteuerung!M31</f>
        <v/>
      </c>
      <c r="N12" s="410">
        <f>-Modellsteuerung!N31</f>
        <v/>
      </c>
      <c r="O12" s="410">
        <f>-Modellsteuerung!O31</f>
        <v/>
      </c>
      <c r="P12" s="410">
        <f>-Modellsteuerung!P31</f>
        <v/>
      </c>
      <c r="Q12" s="410">
        <f>-Modellsteuerung!Q31</f>
        <v/>
      </c>
      <c r="R12" s="410">
        <f>-Modellsteuerung!R31</f>
        <v/>
      </c>
      <c r="S12" s="410">
        <f>-Modellsteuerung!S31</f>
        <v/>
      </c>
      <c r="T12" s="410">
        <f>-Modellsteuerung!T31</f>
        <v/>
      </c>
      <c r="U12" s="410">
        <f>-Modellsteuerung!U31</f>
        <v/>
      </c>
      <c r="V12" s="410">
        <f>-Modellsteuerung!V31</f>
        <v/>
      </c>
      <c r="W12" s="410">
        <f>-Modellsteuerung!W31</f>
        <v/>
      </c>
      <c r="X12" s="410">
        <f>-Modellsteuerung!X31</f>
        <v/>
      </c>
      <c r="Y12" s="410">
        <f>-Modellsteuerung!Y31</f>
        <v/>
      </c>
      <c r="Z12" s="410">
        <f>-Modellsteuerung!Z31</f>
        <v/>
      </c>
      <c r="AA12" s="410">
        <f>-Modellsteuerung!AA31</f>
        <v/>
      </c>
      <c r="AB12" s="410">
        <f>-Modellsteuerung!AB31</f>
        <v/>
      </c>
      <c r="AC12" s="410">
        <f>-Modellsteuerung!AC31</f>
        <v/>
      </c>
      <c r="AD12" s="410">
        <f>-Modellsteuerung!AD31</f>
        <v/>
      </c>
      <c r="AE12" s="410">
        <f>-Modellsteuerung!AE31</f>
        <v/>
      </c>
      <c r="AF12" s="410">
        <f>-Modellsteuerung!AF31</f>
        <v/>
      </c>
      <c r="AG12" s="410">
        <f>-Modellsteuerung!AG31</f>
        <v/>
      </c>
      <c r="AH12" s="410">
        <f>-Modellsteuerung!AH31</f>
        <v/>
      </c>
      <c r="AI12" s="410">
        <f>-Modellsteuerung!AI31</f>
        <v/>
      </c>
      <c r="AJ12" s="410">
        <f>-Modellsteuerung!AJ31</f>
        <v/>
      </c>
      <c r="AK12" s="410">
        <f>-Modellsteuerung!AK31</f>
        <v/>
      </c>
      <c r="AL12" s="410">
        <f>-Modellsteuerung!AL31</f>
        <v/>
      </c>
      <c r="AM12" s="410">
        <f>-Modellsteuerung!AM31</f>
        <v/>
      </c>
      <c r="AN12" s="324">
        <f>SUM(D12:O12)</f>
        <v/>
      </c>
      <c r="AO12" s="324">
        <f>SUM(P12:AA12)</f>
        <v/>
      </c>
      <c r="AP12" s="324">
        <f>SUM(AB12:AM12)</f>
        <v/>
      </c>
      <c r="AQ12" s="410">
        <f>-Modellsteuerung!AQ31</f>
        <v/>
      </c>
      <c r="AR12" s="410">
        <f>-Modellsteuerung!AR31</f>
        <v/>
      </c>
      <c r="AS12" s="410">
        <f>-Modellsteuerung!AS31</f>
        <v/>
      </c>
      <c r="AT12" s="410">
        <f>-Modellsteuerung!AT31</f>
        <v/>
      </c>
      <c r="AU12" s="410">
        <f>-Modellsteuerung!AU31</f>
        <v/>
      </c>
      <c r="AV12" s="410">
        <f>-Modellsteuerung!AV31</f>
        <v/>
      </c>
      <c r="AW12" s="410">
        <f>-Modellsteuerung!AW31</f>
        <v/>
      </c>
      <c r="AX12" s="410">
        <f>-Modellsteuerung!AX31</f>
        <v/>
      </c>
      <c r="AY12" s="324">
        <f>SUM(AQ12:AT12)</f>
        <v/>
      </c>
      <c r="AZ12" s="324">
        <f>SUM(AU12:AX12)</f>
        <v/>
      </c>
    </row>
    <row r="13" ht="15" customHeight="1">
      <c r="B13" s="314" t="inlineStr">
        <is>
          <t>Investitions-Cashflow</t>
        </is>
      </c>
      <c r="D13" s="323">
        <f>D12</f>
        <v/>
      </c>
      <c r="E13" s="323">
        <f>E12</f>
        <v/>
      </c>
      <c r="F13" s="323">
        <f>F12</f>
        <v/>
      </c>
      <c r="G13" s="323">
        <f>G12</f>
        <v/>
      </c>
      <c r="H13" s="323">
        <f>H12</f>
        <v/>
      </c>
      <c r="I13" s="323">
        <f>I12</f>
        <v/>
      </c>
      <c r="J13" s="323">
        <f>J12</f>
        <v/>
      </c>
      <c r="K13" s="323">
        <f>K12</f>
        <v/>
      </c>
      <c r="L13" s="323">
        <f>L12</f>
        <v/>
      </c>
      <c r="M13" s="323">
        <f>M12</f>
        <v/>
      </c>
      <c r="N13" s="323">
        <f>N12</f>
        <v/>
      </c>
      <c r="O13" s="323">
        <f>O12</f>
        <v/>
      </c>
      <c r="P13" s="323">
        <f>P12</f>
        <v/>
      </c>
      <c r="Q13" s="323">
        <f>Q12</f>
        <v/>
      </c>
      <c r="R13" s="323">
        <f>R12</f>
        <v/>
      </c>
      <c r="S13" s="323">
        <f>S12</f>
        <v/>
      </c>
      <c r="T13" s="323">
        <f>T12</f>
        <v/>
      </c>
      <c r="U13" s="323">
        <f>U12</f>
        <v/>
      </c>
      <c r="V13" s="323">
        <f>V12</f>
        <v/>
      </c>
      <c r="W13" s="323">
        <f>W12</f>
        <v/>
      </c>
      <c r="X13" s="323">
        <f>X12</f>
        <v/>
      </c>
      <c r="Y13" s="323">
        <f>Y12</f>
        <v/>
      </c>
      <c r="Z13" s="323">
        <f>Z12</f>
        <v/>
      </c>
      <c r="AA13" s="323">
        <f>AA12</f>
        <v/>
      </c>
      <c r="AB13" s="323">
        <f>AB12</f>
        <v/>
      </c>
      <c r="AC13" s="323">
        <f>AC12</f>
        <v/>
      </c>
      <c r="AD13" s="323">
        <f>AD12</f>
        <v/>
      </c>
      <c r="AE13" s="323">
        <f>AE12</f>
        <v/>
      </c>
      <c r="AF13" s="323">
        <f>AF12</f>
        <v/>
      </c>
      <c r="AG13" s="323">
        <f>AG12</f>
        <v/>
      </c>
      <c r="AH13" s="323">
        <f>AH12</f>
        <v/>
      </c>
      <c r="AI13" s="323">
        <f>AI12</f>
        <v/>
      </c>
      <c r="AJ13" s="323">
        <f>AJ12</f>
        <v/>
      </c>
      <c r="AK13" s="323">
        <f>AK12</f>
        <v/>
      </c>
      <c r="AL13" s="323">
        <f>AL12</f>
        <v/>
      </c>
      <c r="AM13" s="323">
        <f>AM12</f>
        <v/>
      </c>
      <c r="AN13" s="324">
        <f>SUM(D13:O13)</f>
        <v/>
      </c>
      <c r="AO13" s="324">
        <f>SUM(P13:AA13)</f>
        <v/>
      </c>
      <c r="AP13" s="324">
        <f>SUM(AB13:AM13)</f>
        <v/>
      </c>
      <c r="AQ13" s="323">
        <f>AQ12</f>
        <v/>
      </c>
      <c r="AR13" s="323">
        <f>AR12</f>
        <v/>
      </c>
      <c r="AS13" s="323">
        <f>AS12</f>
        <v/>
      </c>
      <c r="AT13" s="323">
        <f>AT12</f>
        <v/>
      </c>
      <c r="AU13" s="323">
        <f>AU12</f>
        <v/>
      </c>
      <c r="AV13" s="323">
        <f>AV12</f>
        <v/>
      </c>
      <c r="AW13" s="323">
        <f>AW12</f>
        <v/>
      </c>
      <c r="AX13" s="323">
        <f>AX12</f>
        <v/>
      </c>
      <c r="AY13" s="324">
        <f>SUM(AQ13:AT13)</f>
        <v/>
      </c>
      <c r="AZ13" s="324">
        <f>SUM(AU13:AX13)</f>
        <v/>
      </c>
    </row>
    <row r="14" ht="15" customHeight="1">
      <c r="B14" s="39" t="n"/>
    </row>
    <row r="15" ht="15" customHeight="1">
      <c r="B15" s="314" t="inlineStr">
        <is>
          <t>C. FINANZIERUNGS-CASHFLOW</t>
        </is>
      </c>
    </row>
    <row r="16" ht="15" customHeight="1">
      <c r="B16" s="406" t="inlineStr">
        <is>
          <t>Eigenkapital-Zufluss</t>
        </is>
      </c>
      <c r="D16" s="410">
        <f>Annahmen!$C$42*CAPEX!$C$20</f>
        <v/>
      </c>
      <c r="E16" s="411" t="n">
        <v>0</v>
      </c>
      <c r="F16" s="411" t="n">
        <v>0</v>
      </c>
      <c r="G16" s="411" t="n">
        <v>0</v>
      </c>
      <c r="H16" s="411" t="n">
        <v>0</v>
      </c>
      <c r="I16" s="411" t="n">
        <v>0</v>
      </c>
      <c r="J16" s="411" t="n">
        <v>0</v>
      </c>
      <c r="K16" s="411" t="n">
        <v>0</v>
      </c>
      <c r="L16" s="411" t="n">
        <v>0</v>
      </c>
      <c r="M16" s="411" t="n">
        <v>0</v>
      </c>
      <c r="N16" s="411" t="n">
        <v>0</v>
      </c>
      <c r="O16" s="411" t="n">
        <v>0</v>
      </c>
      <c r="P16" s="411" t="n">
        <v>0</v>
      </c>
      <c r="Q16" s="411" t="n">
        <v>0</v>
      </c>
      <c r="R16" s="411" t="n">
        <v>0</v>
      </c>
      <c r="S16" s="411" t="n">
        <v>0</v>
      </c>
      <c r="T16" s="411" t="n">
        <v>0</v>
      </c>
      <c r="U16" s="411" t="n">
        <v>0</v>
      </c>
      <c r="V16" s="411" t="n">
        <v>0</v>
      </c>
      <c r="W16" s="411" t="n">
        <v>0</v>
      </c>
      <c r="X16" s="411" t="n">
        <v>0</v>
      </c>
      <c r="Y16" s="411" t="n">
        <v>0</v>
      </c>
      <c r="Z16" s="411" t="n">
        <v>0</v>
      </c>
      <c r="AA16" s="411" t="n">
        <v>0</v>
      </c>
      <c r="AB16" s="411" t="n">
        <v>0</v>
      </c>
      <c r="AC16" s="411" t="n">
        <v>0</v>
      </c>
      <c r="AD16" s="411" t="n">
        <v>0</v>
      </c>
      <c r="AE16" s="411" t="n">
        <v>0</v>
      </c>
      <c r="AF16" s="411" t="n">
        <v>0</v>
      </c>
      <c r="AG16" s="411" t="n">
        <v>0</v>
      </c>
      <c r="AH16" s="411" t="n">
        <v>0</v>
      </c>
      <c r="AI16" s="411" t="n">
        <v>0</v>
      </c>
      <c r="AJ16" s="411" t="n">
        <v>0</v>
      </c>
      <c r="AK16" s="411" t="n">
        <v>0</v>
      </c>
      <c r="AL16" s="411" t="n">
        <v>0</v>
      </c>
      <c r="AM16" s="411" t="n">
        <v>0</v>
      </c>
      <c r="AN16" s="324">
        <f>SUM(D16:O16)</f>
        <v/>
      </c>
      <c r="AO16" s="324">
        <f>SUM(P16:AA16)</f>
        <v/>
      </c>
      <c r="AP16" s="324">
        <f>SUM(AB16:AM16)</f>
        <v/>
      </c>
      <c r="AQ16" s="411" t="n">
        <v>0</v>
      </c>
      <c r="AR16" s="411" t="n">
        <v>0</v>
      </c>
      <c r="AS16" s="411" t="n">
        <v>0</v>
      </c>
      <c r="AT16" s="411" t="n">
        <v>0</v>
      </c>
      <c r="AU16" s="411" t="n">
        <v>0</v>
      </c>
      <c r="AV16" s="411" t="n">
        <v>0</v>
      </c>
      <c r="AW16" s="411" t="n">
        <v>0</v>
      </c>
      <c r="AX16" s="411" t="n">
        <v>0</v>
      </c>
      <c r="AY16" s="324">
        <f>SUM(AQ16:AT16)</f>
        <v/>
      </c>
      <c r="AZ16" s="324">
        <f>SUM(AU16:AX16)</f>
        <v/>
      </c>
    </row>
    <row r="17" ht="15" customHeight="1">
      <c r="B17" s="314" t="inlineStr">
        <is>
          <t>Bankdarlehen-Zufluss</t>
        </is>
      </c>
      <c r="D17" s="323">
        <f>Annahmen!$C$43*CAPEX!$C$20</f>
        <v/>
      </c>
      <c r="E17" s="329" t="n">
        <v>0</v>
      </c>
      <c r="F17" s="329" t="n">
        <v>0</v>
      </c>
      <c r="G17" s="329" t="n">
        <v>0</v>
      </c>
      <c r="H17" s="329" t="n">
        <v>0</v>
      </c>
      <c r="I17" s="329" t="n">
        <v>0</v>
      </c>
      <c r="J17" s="329" t="n">
        <v>0</v>
      </c>
      <c r="K17" s="329" t="n">
        <v>0</v>
      </c>
      <c r="L17" s="329" t="n">
        <v>0</v>
      </c>
      <c r="M17" s="329" t="n">
        <v>0</v>
      </c>
      <c r="N17" s="329" t="n">
        <v>0</v>
      </c>
      <c r="O17" s="329" t="n">
        <v>0</v>
      </c>
      <c r="P17" s="329" t="n">
        <v>0</v>
      </c>
      <c r="Q17" s="329" t="n">
        <v>0</v>
      </c>
      <c r="R17" s="329" t="n">
        <v>0</v>
      </c>
      <c r="S17" s="329" t="n">
        <v>0</v>
      </c>
      <c r="T17" s="329" t="n">
        <v>0</v>
      </c>
      <c r="U17" s="329" t="n">
        <v>0</v>
      </c>
      <c r="V17" s="329" t="n">
        <v>0</v>
      </c>
      <c r="W17" s="329" t="n">
        <v>0</v>
      </c>
      <c r="X17" s="329" t="n">
        <v>0</v>
      </c>
      <c r="Y17" s="329" t="n">
        <v>0</v>
      </c>
      <c r="Z17" s="329" t="n">
        <v>0</v>
      </c>
      <c r="AA17" s="329" t="n">
        <v>0</v>
      </c>
      <c r="AB17" s="329" t="n">
        <v>0</v>
      </c>
      <c r="AC17" s="329" t="n">
        <v>0</v>
      </c>
      <c r="AD17" s="329" t="n">
        <v>0</v>
      </c>
      <c r="AE17" s="329" t="n">
        <v>0</v>
      </c>
      <c r="AF17" s="329" t="n">
        <v>0</v>
      </c>
      <c r="AG17" s="329" t="n">
        <v>0</v>
      </c>
      <c r="AH17" s="329" t="n">
        <v>0</v>
      </c>
      <c r="AI17" s="329" t="n">
        <v>0</v>
      </c>
      <c r="AJ17" s="329" t="n">
        <v>0</v>
      </c>
      <c r="AK17" s="329" t="n">
        <v>0</v>
      </c>
      <c r="AL17" s="329" t="n">
        <v>0</v>
      </c>
      <c r="AM17" s="329" t="n">
        <v>0</v>
      </c>
      <c r="AN17" s="324">
        <f>SUM(D17:O17)</f>
        <v/>
      </c>
      <c r="AO17" s="324">
        <f>SUM(P17:AA17)</f>
        <v/>
      </c>
      <c r="AP17" s="324">
        <f>SUM(AB17:AM17)</f>
        <v/>
      </c>
      <c r="AQ17" s="329" t="n">
        <v>0</v>
      </c>
      <c r="AR17" s="329" t="n">
        <v>0</v>
      </c>
      <c r="AS17" s="329" t="n">
        <v>0</v>
      </c>
      <c r="AT17" s="329" t="n">
        <v>0</v>
      </c>
      <c r="AU17" s="329" t="n">
        <v>0</v>
      </c>
      <c r="AV17" s="329" t="n">
        <v>0</v>
      </c>
      <c r="AW17" s="329" t="n">
        <v>0</v>
      </c>
      <c r="AX17" s="329" t="n">
        <v>0</v>
      </c>
      <c r="AY17" s="324">
        <f>SUM(AQ17:AT17)</f>
        <v/>
      </c>
      <c r="AZ17" s="324">
        <f>SUM(AU17:AX17)</f>
        <v/>
      </c>
    </row>
    <row r="18" ht="15" customHeight="1">
      <c r="B18" s="406" t="inlineStr">
        <is>
          <t>Fördermittel-Zufluss</t>
        </is>
      </c>
      <c r="D18" s="410">
        <f>Annahmen!$C$44*CAPEX!$C$20</f>
        <v/>
      </c>
      <c r="E18" s="411" t="n">
        <v>0</v>
      </c>
      <c r="F18" s="411" t="n">
        <v>0</v>
      </c>
      <c r="G18" s="411" t="n">
        <v>0</v>
      </c>
      <c r="H18" s="411" t="n">
        <v>0</v>
      </c>
      <c r="I18" s="411" t="n">
        <v>0</v>
      </c>
      <c r="J18" s="411" t="n">
        <v>0</v>
      </c>
      <c r="K18" s="411" t="n">
        <v>0</v>
      </c>
      <c r="L18" s="411" t="n">
        <v>0</v>
      </c>
      <c r="M18" s="411" t="n">
        <v>0</v>
      </c>
      <c r="N18" s="411" t="n">
        <v>0</v>
      </c>
      <c r="O18" s="411" t="n">
        <v>0</v>
      </c>
      <c r="P18" s="411" t="n">
        <v>0</v>
      </c>
      <c r="Q18" s="411" t="n">
        <v>0</v>
      </c>
      <c r="R18" s="411" t="n">
        <v>0</v>
      </c>
      <c r="S18" s="411" t="n">
        <v>0</v>
      </c>
      <c r="T18" s="411" t="n">
        <v>0</v>
      </c>
      <c r="U18" s="411" t="n">
        <v>0</v>
      </c>
      <c r="V18" s="411" t="n">
        <v>0</v>
      </c>
      <c r="W18" s="411" t="n">
        <v>0</v>
      </c>
      <c r="X18" s="411" t="n">
        <v>0</v>
      </c>
      <c r="Y18" s="411" t="n">
        <v>0</v>
      </c>
      <c r="Z18" s="411" t="n">
        <v>0</v>
      </c>
      <c r="AA18" s="411" t="n">
        <v>0</v>
      </c>
      <c r="AB18" s="411" t="n">
        <v>0</v>
      </c>
      <c r="AC18" s="411" t="n">
        <v>0</v>
      </c>
      <c r="AD18" s="411" t="n">
        <v>0</v>
      </c>
      <c r="AE18" s="411" t="n">
        <v>0</v>
      </c>
      <c r="AF18" s="411" t="n">
        <v>0</v>
      </c>
      <c r="AG18" s="411" t="n">
        <v>0</v>
      </c>
      <c r="AH18" s="411" t="n">
        <v>0</v>
      </c>
      <c r="AI18" s="411" t="n">
        <v>0</v>
      </c>
      <c r="AJ18" s="411" t="n">
        <v>0</v>
      </c>
      <c r="AK18" s="411" t="n">
        <v>0</v>
      </c>
      <c r="AL18" s="411" t="n">
        <v>0</v>
      </c>
      <c r="AM18" s="411" t="n">
        <v>0</v>
      </c>
      <c r="AN18" s="324">
        <f>SUM(D18:O18)</f>
        <v/>
      </c>
      <c r="AO18" s="324">
        <f>SUM(P18:AA18)</f>
        <v/>
      </c>
      <c r="AP18" s="324">
        <f>SUM(AB18:AM18)</f>
        <v/>
      </c>
      <c r="AQ18" s="411" t="n">
        <v>0</v>
      </c>
      <c r="AR18" s="411" t="n">
        <v>0</v>
      </c>
      <c r="AS18" s="411" t="n">
        <v>0</v>
      </c>
      <c r="AT18" s="411" t="n">
        <v>0</v>
      </c>
      <c r="AU18" s="411" t="n">
        <v>0</v>
      </c>
      <c r="AV18" s="411" t="n">
        <v>0</v>
      </c>
      <c r="AW18" s="411" t="n">
        <v>0</v>
      </c>
      <c r="AX18" s="411" t="n">
        <v>0</v>
      </c>
      <c r="AY18" s="324">
        <f>SUM(AQ18:AT18)</f>
        <v/>
      </c>
      <c r="AZ18" s="324">
        <f>SUM(AU18:AX18)</f>
        <v/>
      </c>
    </row>
    <row r="19" ht="15" customHeight="1">
      <c r="B19" s="314" t="inlineStr">
        <is>
          <t>KfW-Zufluss</t>
        </is>
      </c>
      <c r="D19" s="323">
        <f>Annahmen!$C$45*CAPEX!$C$20</f>
        <v/>
      </c>
      <c r="E19" s="329" t="n">
        <v>0</v>
      </c>
      <c r="F19" s="329" t="n">
        <v>0</v>
      </c>
      <c r="G19" s="329" t="n">
        <v>0</v>
      </c>
      <c r="H19" s="329" t="n">
        <v>0</v>
      </c>
      <c r="I19" s="329" t="n">
        <v>0</v>
      </c>
      <c r="J19" s="329" t="n">
        <v>0</v>
      </c>
      <c r="K19" s="329" t="n">
        <v>0</v>
      </c>
      <c r="L19" s="329" t="n">
        <v>0</v>
      </c>
      <c r="M19" s="329" t="n">
        <v>0</v>
      </c>
      <c r="N19" s="329" t="n">
        <v>0</v>
      </c>
      <c r="O19" s="329" t="n">
        <v>0</v>
      </c>
      <c r="P19" s="329" t="n">
        <v>0</v>
      </c>
      <c r="Q19" s="329" t="n">
        <v>0</v>
      </c>
      <c r="R19" s="329" t="n">
        <v>0</v>
      </c>
      <c r="S19" s="329" t="n">
        <v>0</v>
      </c>
      <c r="T19" s="329" t="n">
        <v>0</v>
      </c>
      <c r="U19" s="329" t="n">
        <v>0</v>
      </c>
      <c r="V19" s="329" t="n">
        <v>0</v>
      </c>
      <c r="W19" s="329" t="n">
        <v>0</v>
      </c>
      <c r="X19" s="329" t="n">
        <v>0</v>
      </c>
      <c r="Y19" s="329" t="n">
        <v>0</v>
      </c>
      <c r="Z19" s="329" t="n">
        <v>0</v>
      </c>
      <c r="AA19" s="329" t="n">
        <v>0</v>
      </c>
      <c r="AB19" s="329" t="n">
        <v>0</v>
      </c>
      <c r="AC19" s="329" t="n">
        <v>0</v>
      </c>
      <c r="AD19" s="329" t="n">
        <v>0</v>
      </c>
      <c r="AE19" s="329" t="n">
        <v>0</v>
      </c>
      <c r="AF19" s="329" t="n">
        <v>0</v>
      </c>
      <c r="AG19" s="329" t="n">
        <v>0</v>
      </c>
      <c r="AH19" s="329" t="n">
        <v>0</v>
      </c>
      <c r="AI19" s="329" t="n">
        <v>0</v>
      </c>
      <c r="AJ19" s="329" t="n">
        <v>0</v>
      </c>
      <c r="AK19" s="329" t="n">
        <v>0</v>
      </c>
      <c r="AL19" s="329" t="n">
        <v>0</v>
      </c>
      <c r="AM19" s="329" t="n">
        <v>0</v>
      </c>
      <c r="AN19" s="324">
        <f>SUM(D19:O19)</f>
        <v/>
      </c>
      <c r="AO19" s="324">
        <f>SUM(P19:AA19)</f>
        <v/>
      </c>
      <c r="AP19" s="324">
        <f>SUM(AB19:AM19)</f>
        <v/>
      </c>
      <c r="AQ19" s="329" t="n">
        <v>0</v>
      </c>
      <c r="AR19" s="329" t="n">
        <v>0</v>
      </c>
      <c r="AS19" s="329" t="n">
        <v>0</v>
      </c>
      <c r="AT19" s="329" t="n">
        <v>0</v>
      </c>
      <c r="AU19" s="329" t="n">
        <v>0</v>
      </c>
      <c r="AV19" s="329" t="n">
        <v>0</v>
      </c>
      <c r="AW19" s="329" t="n">
        <v>0</v>
      </c>
      <c r="AX19" s="329" t="n">
        <v>0</v>
      </c>
      <c r="AY19" s="324">
        <f>SUM(AQ19:AT19)</f>
        <v/>
      </c>
      <c r="AZ19" s="324">
        <f>SUM(AU19:AX19)</f>
        <v/>
      </c>
    </row>
    <row r="20" ht="15" customHeight="1">
      <c r="B20" s="406" t="inlineStr">
        <is>
          <t>Tilgung Bankdarlehen</t>
        </is>
      </c>
      <c r="D20" s="410">
        <f>-Modellsteuerung!D22</f>
        <v/>
      </c>
      <c r="E20" s="410">
        <f>-Modellsteuerung!E22</f>
        <v/>
      </c>
      <c r="F20" s="410">
        <f>-Modellsteuerung!F22</f>
        <v/>
      </c>
      <c r="G20" s="410">
        <f>-Modellsteuerung!G22</f>
        <v/>
      </c>
      <c r="H20" s="410">
        <f>-Modellsteuerung!H22</f>
        <v/>
      </c>
      <c r="I20" s="410">
        <f>-Modellsteuerung!I22</f>
        <v/>
      </c>
      <c r="J20" s="410">
        <f>-Modellsteuerung!J22</f>
        <v/>
      </c>
      <c r="K20" s="410">
        <f>-Modellsteuerung!K22</f>
        <v/>
      </c>
      <c r="L20" s="410">
        <f>-Modellsteuerung!L22</f>
        <v/>
      </c>
      <c r="M20" s="410">
        <f>-Modellsteuerung!M22</f>
        <v/>
      </c>
      <c r="N20" s="410">
        <f>-Modellsteuerung!N22</f>
        <v/>
      </c>
      <c r="O20" s="410">
        <f>-Modellsteuerung!O22</f>
        <v/>
      </c>
      <c r="P20" s="410">
        <f>-Modellsteuerung!P22</f>
        <v/>
      </c>
      <c r="Q20" s="410">
        <f>-Modellsteuerung!Q22</f>
        <v/>
      </c>
      <c r="R20" s="410">
        <f>-Modellsteuerung!R22</f>
        <v/>
      </c>
      <c r="S20" s="410">
        <f>-Modellsteuerung!S22</f>
        <v/>
      </c>
      <c r="T20" s="410">
        <f>-Modellsteuerung!T22</f>
        <v/>
      </c>
      <c r="U20" s="410">
        <f>-Modellsteuerung!U22</f>
        <v/>
      </c>
      <c r="V20" s="410">
        <f>-Modellsteuerung!V22</f>
        <v/>
      </c>
      <c r="W20" s="410">
        <f>-Modellsteuerung!W22</f>
        <v/>
      </c>
      <c r="X20" s="410">
        <f>-Modellsteuerung!X22</f>
        <v/>
      </c>
      <c r="Y20" s="410">
        <f>-Modellsteuerung!Y22</f>
        <v/>
      </c>
      <c r="Z20" s="410">
        <f>-Modellsteuerung!Z22</f>
        <v/>
      </c>
      <c r="AA20" s="410">
        <f>-Modellsteuerung!AA22</f>
        <v/>
      </c>
      <c r="AB20" s="410">
        <f>-Modellsteuerung!AB22</f>
        <v/>
      </c>
      <c r="AC20" s="410">
        <f>-Modellsteuerung!AC22</f>
        <v/>
      </c>
      <c r="AD20" s="410">
        <f>-Modellsteuerung!AD22</f>
        <v/>
      </c>
      <c r="AE20" s="410">
        <f>-Modellsteuerung!AE22</f>
        <v/>
      </c>
      <c r="AF20" s="410">
        <f>-Modellsteuerung!AF22</f>
        <v/>
      </c>
      <c r="AG20" s="410">
        <f>-Modellsteuerung!AG22</f>
        <v/>
      </c>
      <c r="AH20" s="410">
        <f>-Modellsteuerung!AH22</f>
        <v/>
      </c>
      <c r="AI20" s="410">
        <f>-Modellsteuerung!AI22</f>
        <v/>
      </c>
      <c r="AJ20" s="410">
        <f>-Modellsteuerung!AJ22</f>
        <v/>
      </c>
      <c r="AK20" s="410">
        <f>-Modellsteuerung!AK22</f>
        <v/>
      </c>
      <c r="AL20" s="410">
        <f>-Modellsteuerung!AL22</f>
        <v/>
      </c>
      <c r="AM20" s="410">
        <f>-Modellsteuerung!AM22</f>
        <v/>
      </c>
      <c r="AN20" s="324">
        <f>SUM(D20:O20)</f>
        <v/>
      </c>
      <c r="AO20" s="324">
        <f>SUM(P20:AA20)</f>
        <v/>
      </c>
      <c r="AP20" s="324">
        <f>SUM(AB20:AM20)</f>
        <v/>
      </c>
      <c r="AQ20" s="410">
        <f>-Modellsteuerung!AQ22</f>
        <v/>
      </c>
      <c r="AR20" s="410">
        <f>-Modellsteuerung!AR22</f>
        <v/>
      </c>
      <c r="AS20" s="410">
        <f>-Modellsteuerung!AS22</f>
        <v/>
      </c>
      <c r="AT20" s="410">
        <f>-Modellsteuerung!AT22</f>
        <v/>
      </c>
      <c r="AU20" s="410">
        <f>-Modellsteuerung!AU22</f>
        <v/>
      </c>
      <c r="AV20" s="410">
        <f>-Modellsteuerung!AV22</f>
        <v/>
      </c>
      <c r="AW20" s="410">
        <f>-Modellsteuerung!AW22</f>
        <v/>
      </c>
      <c r="AX20" s="410">
        <f>-Modellsteuerung!AX22</f>
        <v/>
      </c>
      <c r="AY20" s="324">
        <f>SUM(AQ20:AT20)</f>
        <v/>
      </c>
      <c r="AZ20" s="324">
        <f>SUM(AU20:AX20)</f>
        <v/>
      </c>
    </row>
    <row r="21" ht="15" customHeight="1">
      <c r="B21" s="314" t="inlineStr">
        <is>
          <t>Tilgung KfW</t>
        </is>
      </c>
      <c r="D21" s="323">
        <f>-Modellsteuerung!D25</f>
        <v/>
      </c>
      <c r="E21" s="323">
        <f>-Modellsteuerung!E25</f>
        <v/>
      </c>
      <c r="F21" s="323">
        <f>-Modellsteuerung!F25</f>
        <v/>
      </c>
      <c r="G21" s="323">
        <f>-Modellsteuerung!G25</f>
        <v/>
      </c>
      <c r="H21" s="323">
        <f>-Modellsteuerung!H25</f>
        <v/>
      </c>
      <c r="I21" s="323">
        <f>-Modellsteuerung!I25</f>
        <v/>
      </c>
      <c r="J21" s="323">
        <f>-Modellsteuerung!J25</f>
        <v/>
      </c>
      <c r="K21" s="323">
        <f>-Modellsteuerung!K25</f>
        <v/>
      </c>
      <c r="L21" s="323">
        <f>-Modellsteuerung!L25</f>
        <v/>
      </c>
      <c r="M21" s="323">
        <f>-Modellsteuerung!M25</f>
        <v/>
      </c>
      <c r="N21" s="323">
        <f>-Modellsteuerung!N25</f>
        <v/>
      </c>
      <c r="O21" s="323">
        <f>-Modellsteuerung!O25</f>
        <v/>
      </c>
      <c r="P21" s="323">
        <f>-Modellsteuerung!P25</f>
        <v/>
      </c>
      <c r="Q21" s="323">
        <f>-Modellsteuerung!Q25</f>
        <v/>
      </c>
      <c r="R21" s="323">
        <f>-Modellsteuerung!R25</f>
        <v/>
      </c>
      <c r="S21" s="323">
        <f>-Modellsteuerung!S25</f>
        <v/>
      </c>
      <c r="T21" s="323">
        <f>-Modellsteuerung!T25</f>
        <v/>
      </c>
      <c r="U21" s="323">
        <f>-Modellsteuerung!U25</f>
        <v/>
      </c>
      <c r="V21" s="323">
        <f>-Modellsteuerung!V25</f>
        <v/>
      </c>
      <c r="W21" s="323">
        <f>-Modellsteuerung!W25</f>
        <v/>
      </c>
      <c r="X21" s="323">
        <f>-Modellsteuerung!X25</f>
        <v/>
      </c>
      <c r="Y21" s="323">
        <f>-Modellsteuerung!Y25</f>
        <v/>
      </c>
      <c r="Z21" s="323">
        <f>-Modellsteuerung!Z25</f>
        <v/>
      </c>
      <c r="AA21" s="323">
        <f>-Modellsteuerung!AA25</f>
        <v/>
      </c>
      <c r="AB21" s="323">
        <f>-Modellsteuerung!AB25</f>
        <v/>
      </c>
      <c r="AC21" s="323">
        <f>-Modellsteuerung!AC25</f>
        <v/>
      </c>
      <c r="AD21" s="323">
        <f>-Modellsteuerung!AD25</f>
        <v/>
      </c>
      <c r="AE21" s="323">
        <f>-Modellsteuerung!AE25</f>
        <v/>
      </c>
      <c r="AF21" s="323">
        <f>-Modellsteuerung!AF25</f>
        <v/>
      </c>
      <c r="AG21" s="323">
        <f>-Modellsteuerung!AG25</f>
        <v/>
      </c>
      <c r="AH21" s="323">
        <f>-Modellsteuerung!AH25</f>
        <v/>
      </c>
      <c r="AI21" s="323">
        <f>-Modellsteuerung!AI25</f>
        <v/>
      </c>
      <c r="AJ21" s="323">
        <f>-Modellsteuerung!AJ25</f>
        <v/>
      </c>
      <c r="AK21" s="323">
        <f>-Modellsteuerung!AK25</f>
        <v/>
      </c>
      <c r="AL21" s="323">
        <f>-Modellsteuerung!AL25</f>
        <v/>
      </c>
      <c r="AM21" s="323">
        <f>-Modellsteuerung!AM25</f>
        <v/>
      </c>
      <c r="AN21" s="324">
        <f>SUM(D21:O21)</f>
        <v/>
      </c>
      <c r="AO21" s="324">
        <f>SUM(P21:AA21)</f>
        <v/>
      </c>
      <c r="AP21" s="324">
        <f>SUM(AB21:AM21)</f>
        <v/>
      </c>
      <c r="AQ21" s="323">
        <f>-Modellsteuerung!AQ25</f>
        <v/>
      </c>
      <c r="AR21" s="323">
        <f>-Modellsteuerung!AR25</f>
        <v/>
      </c>
      <c r="AS21" s="323">
        <f>-Modellsteuerung!AS25</f>
        <v/>
      </c>
      <c r="AT21" s="323">
        <f>-Modellsteuerung!AT25</f>
        <v/>
      </c>
      <c r="AU21" s="323">
        <f>-Modellsteuerung!AU25</f>
        <v/>
      </c>
      <c r="AV21" s="323">
        <f>-Modellsteuerung!AV25</f>
        <v/>
      </c>
      <c r="AW21" s="323">
        <f>-Modellsteuerung!AW25</f>
        <v/>
      </c>
      <c r="AX21" s="323">
        <f>-Modellsteuerung!AX25</f>
        <v/>
      </c>
      <c r="AY21" s="324">
        <f>SUM(AQ21:AT21)</f>
        <v/>
      </c>
      <c r="AZ21" s="324">
        <f>SUM(AU21:AX21)</f>
        <v/>
      </c>
    </row>
    <row r="22" ht="15" customHeight="1">
      <c r="B22" s="406" t="inlineStr">
        <is>
          <t>Finanzierungs-Cashflow</t>
        </is>
      </c>
      <c r="D22" s="410">
        <f>D16+D17+D18+D19+D20+D21</f>
        <v/>
      </c>
      <c r="E22" s="410">
        <f>E16+E17+E18+E19+E20+E21</f>
        <v/>
      </c>
      <c r="F22" s="410">
        <f>F16+F17+F18+F19+F20+F21</f>
        <v/>
      </c>
      <c r="G22" s="410">
        <f>G16+G17+G18+G19+G20+G21</f>
        <v/>
      </c>
      <c r="H22" s="410">
        <f>H16+H17+H18+H19+H20+H21</f>
        <v/>
      </c>
      <c r="I22" s="410">
        <f>I16+I17+I18+I19+I20+I21</f>
        <v/>
      </c>
      <c r="J22" s="410">
        <f>J16+J17+J18+J19+J20+J21</f>
        <v/>
      </c>
      <c r="K22" s="410">
        <f>K16+K17+K18+K19+K20+K21</f>
        <v/>
      </c>
      <c r="L22" s="410">
        <f>L16+L17+L18+L19+L20+L21</f>
        <v/>
      </c>
      <c r="M22" s="410">
        <f>M16+M17+M18+M19+M20+M21</f>
        <v/>
      </c>
      <c r="N22" s="410">
        <f>N16+N17+N18+N19+N20+N21</f>
        <v/>
      </c>
      <c r="O22" s="410">
        <f>O16+O17+O18+O19+O20+O21</f>
        <v/>
      </c>
      <c r="P22" s="410">
        <f>P16+P17+P18+P19+P20+P21</f>
        <v/>
      </c>
      <c r="Q22" s="410">
        <f>Q16+Q17+Q18+Q19+Q20+Q21</f>
        <v/>
      </c>
      <c r="R22" s="410">
        <f>R16+R17+R18+R19+R20+R21</f>
        <v/>
      </c>
      <c r="S22" s="410">
        <f>S16+S17+S18+S19+S20+S21</f>
        <v/>
      </c>
      <c r="T22" s="410">
        <f>T16+T17+T18+T19+T20+T21</f>
        <v/>
      </c>
      <c r="U22" s="410">
        <f>U16+U17+U18+U19+U20+U21</f>
        <v/>
      </c>
      <c r="V22" s="410">
        <f>V16+V17+V18+V19+V20+V21</f>
        <v/>
      </c>
      <c r="W22" s="410">
        <f>W16+W17+W18+W19+W20+W21</f>
        <v/>
      </c>
      <c r="X22" s="410">
        <f>X16+X17+X18+X19+X20+X21</f>
        <v/>
      </c>
      <c r="Y22" s="410">
        <f>Y16+Y17+Y18+Y19+Y20+Y21</f>
        <v/>
      </c>
      <c r="Z22" s="410">
        <f>Z16+Z17+Z18+Z19+Z20+Z21</f>
        <v/>
      </c>
      <c r="AA22" s="410">
        <f>AA16+AA17+AA18+AA19+AA20+AA21</f>
        <v/>
      </c>
      <c r="AB22" s="410">
        <f>AB16+AB17+AB18+AB19+AB20+AB21</f>
        <v/>
      </c>
      <c r="AC22" s="410">
        <f>AC16+AC17+AC18+AC19+AC20+AC21</f>
        <v/>
      </c>
      <c r="AD22" s="410">
        <f>AD16+AD17+AD18+AD19+AD20+AD21</f>
        <v/>
      </c>
      <c r="AE22" s="410">
        <f>AE16+AE17+AE18+AE19+AE20+AE21</f>
        <v/>
      </c>
      <c r="AF22" s="410">
        <f>AF16+AF17+AF18+AF19+AF20+AF21</f>
        <v/>
      </c>
      <c r="AG22" s="410">
        <f>AG16+AG17+AG18+AG19+AG20+AG21</f>
        <v/>
      </c>
      <c r="AH22" s="410">
        <f>AH16+AH17+AH18+AH19+AH20+AH21</f>
        <v/>
      </c>
      <c r="AI22" s="410">
        <f>AI16+AI17+AI18+AI19+AI20+AI21</f>
        <v/>
      </c>
      <c r="AJ22" s="410">
        <f>AJ16+AJ17+AJ18+AJ19+AJ20+AJ21</f>
        <v/>
      </c>
      <c r="AK22" s="410">
        <f>AK16+AK17+AK18+AK19+AK20+AK21</f>
        <v/>
      </c>
      <c r="AL22" s="410">
        <f>AL16+AL17+AL18+AL19+AL20+AL21</f>
        <v/>
      </c>
      <c r="AM22" s="410">
        <f>AM16+AM17+AM18+AM19+AM20+AM21</f>
        <v/>
      </c>
      <c r="AN22" s="324">
        <f>SUM(D22:O22)</f>
        <v/>
      </c>
      <c r="AO22" s="324">
        <f>SUM(P22:AA22)</f>
        <v/>
      </c>
      <c r="AP22" s="324">
        <f>SUM(AB22:AM22)</f>
        <v/>
      </c>
      <c r="AQ22" s="410">
        <f>AQ16+AQ17+AQ18+AQ19+AQ20+AQ21</f>
        <v/>
      </c>
      <c r="AR22" s="410">
        <f>AR16+AR17+AR18+AR19+AR20+AR21</f>
        <v/>
      </c>
      <c r="AS22" s="410">
        <f>AS16+AS17+AS18+AS19+AS20+AS21</f>
        <v/>
      </c>
      <c r="AT22" s="410">
        <f>AT16+AT17+AT18+AT19+AT20+AT21</f>
        <v/>
      </c>
      <c r="AU22" s="410">
        <f>AU16+AU17+AU18+AU19+AU20+AU21</f>
        <v/>
      </c>
      <c r="AV22" s="410">
        <f>AV16+AV17+AV18+AV19+AV20+AV21</f>
        <v/>
      </c>
      <c r="AW22" s="410">
        <f>AW16+AW17+AW18+AW19+AW20+AW21</f>
        <v/>
      </c>
      <c r="AX22" s="410">
        <f>AX16+AX17+AX18+AX19+AX20+AX21</f>
        <v/>
      </c>
      <c r="AY22" s="324">
        <f>SUM(AQ22:AT22)</f>
        <v/>
      </c>
      <c r="AZ22" s="324">
        <f>SUM(AU22:AX22)</f>
        <v/>
      </c>
    </row>
    <row r="23" ht="15" customHeight="1">
      <c r="B23" s="39" t="n"/>
    </row>
    <row r="24" ht="15" customHeight="1">
      <c r="B24" s="325" t="inlineStr">
        <is>
          <t>NETTO-CASHFLOW</t>
        </is>
      </c>
      <c r="C24" s="43" t="n"/>
      <c r="D24" s="324">
        <f>D9+D13+D22</f>
        <v/>
      </c>
      <c r="E24" s="324">
        <f>E9+E13+E22</f>
        <v/>
      </c>
      <c r="F24" s="324">
        <f>F9+F13+F22</f>
        <v/>
      </c>
      <c r="G24" s="324">
        <f>G9+G13+G22</f>
        <v/>
      </c>
      <c r="H24" s="324">
        <f>H9+H13+H22</f>
        <v/>
      </c>
      <c r="I24" s="324">
        <f>I9+I13+I22</f>
        <v/>
      </c>
      <c r="J24" s="324">
        <f>J9+J13+J22</f>
        <v/>
      </c>
      <c r="K24" s="324">
        <f>K9+K13+K22</f>
        <v/>
      </c>
      <c r="L24" s="324">
        <f>L9+L13+L22</f>
        <v/>
      </c>
      <c r="M24" s="324">
        <f>M9+M13+M22</f>
        <v/>
      </c>
      <c r="N24" s="324">
        <f>N9+N13+N22</f>
        <v/>
      </c>
      <c r="O24" s="324">
        <f>O9+O13+O22</f>
        <v/>
      </c>
      <c r="P24" s="324">
        <f>P9+P13+P22</f>
        <v/>
      </c>
      <c r="Q24" s="324">
        <f>Q9+Q13+Q22</f>
        <v/>
      </c>
      <c r="R24" s="324">
        <f>R9+R13+R22</f>
        <v/>
      </c>
      <c r="S24" s="324">
        <f>S9+S13+S22</f>
        <v/>
      </c>
      <c r="T24" s="324">
        <f>T9+T13+T22</f>
        <v/>
      </c>
      <c r="U24" s="324">
        <f>U9+U13+U22</f>
        <v/>
      </c>
      <c r="V24" s="324">
        <f>V9+V13+V22</f>
        <v/>
      </c>
      <c r="W24" s="324">
        <f>W9+W13+W22</f>
        <v/>
      </c>
      <c r="X24" s="324">
        <f>X9+X13+X22</f>
        <v/>
      </c>
      <c r="Y24" s="324">
        <f>Y9+Y13+Y22</f>
        <v/>
      </c>
      <c r="Z24" s="324">
        <f>Z9+Z13+Z22</f>
        <v/>
      </c>
      <c r="AA24" s="324">
        <f>AA9+AA13+AA22</f>
        <v/>
      </c>
      <c r="AB24" s="324">
        <f>AB9+AB13+AB22</f>
        <v/>
      </c>
      <c r="AC24" s="324">
        <f>AC9+AC13+AC22</f>
        <v/>
      </c>
      <c r="AD24" s="324">
        <f>AD9+AD13+AD22</f>
        <v/>
      </c>
      <c r="AE24" s="324">
        <f>AE9+AE13+AE22</f>
        <v/>
      </c>
      <c r="AF24" s="324">
        <f>AF9+AF13+AF22</f>
        <v/>
      </c>
      <c r="AG24" s="324">
        <f>AG9+AG13+AG22</f>
        <v/>
      </c>
      <c r="AH24" s="324">
        <f>AH9+AH13+AH22</f>
        <v/>
      </c>
      <c r="AI24" s="324">
        <f>AI9+AI13+AI22</f>
        <v/>
      </c>
      <c r="AJ24" s="324">
        <f>AJ9+AJ13+AJ22</f>
        <v/>
      </c>
      <c r="AK24" s="324">
        <f>AK9+AK13+AK22</f>
        <v/>
      </c>
      <c r="AL24" s="324">
        <f>AL9+AL13+AL22</f>
        <v/>
      </c>
      <c r="AM24" s="324">
        <f>AM9+AM13+AM22</f>
        <v/>
      </c>
      <c r="AN24" s="324">
        <f>SUM(D24:O24)</f>
        <v/>
      </c>
      <c r="AO24" s="324">
        <f>SUM(P24:AA24)</f>
        <v/>
      </c>
      <c r="AP24" s="324">
        <f>SUM(AB24:AM24)</f>
        <v/>
      </c>
      <c r="AQ24" s="324">
        <f>AQ9+AQ13+AQ22</f>
        <v/>
      </c>
      <c r="AR24" s="324">
        <f>AR9+AR13+AR22</f>
        <v/>
      </c>
      <c r="AS24" s="324">
        <f>AS9+AS13+AS22</f>
        <v/>
      </c>
      <c r="AT24" s="324">
        <f>AT9+AT13+AT22</f>
        <v/>
      </c>
      <c r="AU24" s="324">
        <f>AU9+AU13+AU22</f>
        <v/>
      </c>
      <c r="AV24" s="324">
        <f>AV9+AV13+AV22</f>
        <v/>
      </c>
      <c r="AW24" s="324">
        <f>AW9+AW13+AW22</f>
        <v/>
      </c>
      <c r="AX24" s="324">
        <f>AX9+AX13+AX22</f>
        <v/>
      </c>
      <c r="AY24" s="324">
        <f>SUM(AQ24:AT24)</f>
        <v/>
      </c>
      <c r="AZ24" s="324">
        <f>SUM(AU24:AX24)</f>
        <v/>
      </c>
    </row>
    <row r="25" ht="15" customHeight="1">
      <c r="B25" s="325" t="inlineStr">
        <is>
          <t>Kumulierter Cashflow</t>
        </is>
      </c>
      <c r="C25" s="43" t="n"/>
      <c r="D25" s="324">
        <f>D24</f>
        <v/>
      </c>
      <c r="E25" s="324">
        <f>D25+E24</f>
        <v/>
      </c>
      <c r="F25" s="324">
        <f>E25+F24</f>
        <v/>
      </c>
      <c r="G25" s="324">
        <f>F25+G24</f>
        <v/>
      </c>
      <c r="H25" s="324">
        <f>G25+H24</f>
        <v/>
      </c>
      <c r="I25" s="324">
        <f>H25+I24</f>
        <v/>
      </c>
      <c r="J25" s="324">
        <f>I25+J24</f>
        <v/>
      </c>
      <c r="K25" s="324">
        <f>J25+K24</f>
        <v/>
      </c>
      <c r="L25" s="324">
        <f>K25+L24</f>
        <v/>
      </c>
      <c r="M25" s="324">
        <f>L25+M24</f>
        <v/>
      </c>
      <c r="N25" s="324">
        <f>M25+N24</f>
        <v/>
      </c>
      <c r="O25" s="324">
        <f>N25+O24</f>
        <v/>
      </c>
      <c r="P25" s="324">
        <f>O25+P24</f>
        <v/>
      </c>
      <c r="Q25" s="324">
        <f>P25+Q24</f>
        <v/>
      </c>
      <c r="R25" s="324">
        <f>Q25+R24</f>
        <v/>
      </c>
      <c r="S25" s="324">
        <f>R25+S24</f>
        <v/>
      </c>
      <c r="T25" s="324">
        <f>S25+T24</f>
        <v/>
      </c>
      <c r="U25" s="324">
        <f>T25+U24</f>
        <v/>
      </c>
      <c r="V25" s="324">
        <f>U25+V24</f>
        <v/>
      </c>
      <c r="W25" s="324">
        <f>V25+W24</f>
        <v/>
      </c>
      <c r="X25" s="324">
        <f>W25+X24</f>
        <v/>
      </c>
      <c r="Y25" s="324">
        <f>X25+Y24</f>
        <v/>
      </c>
      <c r="Z25" s="324">
        <f>Y25+Z24</f>
        <v/>
      </c>
      <c r="AA25" s="324">
        <f>Z25+AA24</f>
        <v/>
      </c>
      <c r="AB25" s="324">
        <f>AA25+AB24</f>
        <v/>
      </c>
      <c r="AC25" s="324">
        <f>AB25+AC24</f>
        <v/>
      </c>
      <c r="AD25" s="324">
        <f>AC25+AD24</f>
        <v/>
      </c>
      <c r="AE25" s="324">
        <f>AD25+AE24</f>
        <v/>
      </c>
      <c r="AF25" s="324">
        <f>AE25+AF24</f>
        <v/>
      </c>
      <c r="AG25" s="324">
        <f>AF25+AG24</f>
        <v/>
      </c>
      <c r="AH25" s="324">
        <f>AG25+AH24</f>
        <v/>
      </c>
      <c r="AI25" s="324">
        <f>AH25+AI24</f>
        <v/>
      </c>
      <c r="AJ25" s="324">
        <f>AI25+AJ24</f>
        <v/>
      </c>
      <c r="AK25" s="324">
        <f>AJ25+AK24</f>
        <v/>
      </c>
      <c r="AL25" s="324">
        <f>AK25+AL24</f>
        <v/>
      </c>
      <c r="AM25" s="324">
        <f>AL25+AM24</f>
        <v/>
      </c>
      <c r="AN25" s="324">
        <f>O25</f>
        <v/>
      </c>
      <c r="AO25" s="324">
        <f>AA25</f>
        <v/>
      </c>
      <c r="AP25" s="324">
        <f>AM25</f>
        <v/>
      </c>
      <c r="AQ25" s="324">
        <f>AM25+AQ24</f>
        <v/>
      </c>
      <c r="AR25" s="324">
        <f>AQ25+AR24</f>
        <v/>
      </c>
      <c r="AS25" s="324">
        <f>AR25+AS24</f>
        <v/>
      </c>
      <c r="AT25" s="324">
        <f>AS25+AT24</f>
        <v/>
      </c>
      <c r="AU25" s="324">
        <f>AT25+AU24</f>
        <v/>
      </c>
      <c r="AV25" s="324">
        <f>AU25+AV24</f>
        <v/>
      </c>
      <c r="AW25" s="324">
        <f>AV25+AW24</f>
        <v/>
      </c>
      <c r="AX25" s="324">
        <f>AW25+AX24</f>
        <v/>
      </c>
      <c r="AY25" s="324">
        <f>AT25</f>
        <v/>
      </c>
      <c r="AZ25" s="324">
        <f>AX25</f>
        <v/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tabColor rgb="00F5A623"/>
    <outlinePr summaryBelow="1" summaryRight="1"/>
    <pageSetUpPr/>
  </sheetPr>
  <dimension ref="A1:M42"/>
  <sheetViews>
    <sheetView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30" customWidth="1" min="3" max="3"/>
    <col width="18" customWidth="1" min="4" max="13"/>
    <col width="30" customWidth="1" min="5" max="5"/>
    <col width="18" customWidth="1" min="6" max="6"/>
    <col width="18" customWidth="1" min="7" max="7"/>
    <col width="18" customWidth="1" min="8" max="8"/>
    <col width="30" customWidth="1" min="9" max="9"/>
    <col width="30" customWidth="1" min="10" max="10"/>
    <col width="30" customWidth="1" min="11" max="11"/>
    <col width="30" customWidth="1" min="12" max="12"/>
    <col width="30" customWidth="1" min="13" max="13"/>
  </cols>
  <sheetData>
    <row r="1" ht="24" customHeight="1">
      <c r="B1" s="405" t="inlineStr">
        <is>
          <t>PHYOX BioGenesis (NovaVersum GmbH) – DCF-Unternehmensbewertung</t>
        </is>
      </c>
    </row>
    <row r="2" ht="15" customHeight="1">
      <c r="B2" s="406" t="inlineStr">
        <is>
          <t>Discounted Cash Flow | WACC-basiert | Gordon Growth Terminal Value</t>
        </is>
      </c>
    </row>
    <row r="3"/>
    <row r="4" ht="15" customHeight="1">
      <c r="B4" s="406" t="inlineStr">
        <is>
          <t>A. BEWERTUNGSANNAHMEN</t>
        </is>
      </c>
    </row>
    <row r="5" ht="15" customHeight="1">
      <c r="B5" s="314" t="inlineStr">
        <is>
          <t>WACC (Diskontierungssatz)</t>
        </is>
      </c>
      <c r="C5" s="318">
        <f>Annahmen!$C$35</f>
        <v/>
      </c>
    </row>
    <row r="6" ht="15" customHeight="1">
      <c r="B6" s="406" t="inlineStr">
        <is>
          <t>Ewige Wachstumsrate (g)</t>
        </is>
      </c>
      <c r="C6" s="411" t="n">
        <v>0.02</v>
      </c>
    </row>
    <row r="7" ht="15" customHeight="1">
      <c r="B7" s="314" t="inlineStr">
        <is>
          <t>Planungshorizont</t>
        </is>
      </c>
      <c r="C7" s="323">
        <f>Annahmen!$C$36</f>
        <v/>
      </c>
    </row>
    <row r="8" ht="15" customHeight="1">
      <c r="B8" s="406" t="inlineStr">
        <is>
          <t>CAPEX gesamt</t>
        </is>
      </c>
      <c r="C8" s="410">
        <f>CAPEX!$C$20</f>
        <v/>
      </c>
    </row>
    <row r="9" ht="15" customHeight="1">
      <c r="B9" s="314" t="inlineStr">
        <is>
          <t>Steuersatz effektiv</t>
        </is>
      </c>
      <c r="C9" s="330">
        <f>Annahmen!$C$215</f>
        <v/>
      </c>
    </row>
    <row r="10" ht="15" customHeight="1">
      <c r="B10" s="406" t="inlineStr">
        <is>
          <t>Maintenance-CAPEX Rate (ab J2)</t>
        </is>
      </c>
      <c r="C10" s="409">
        <f>Annahmen!$C$214</f>
        <v/>
      </c>
    </row>
    <row r="12" ht="15" customHeight="1">
      <c r="B12" s="406" t="inlineStr">
        <is>
          <t>B. FREE CASH FLOW – 10-JAHRES-PROJEKTION</t>
        </is>
      </c>
    </row>
    <row r="13" ht="15" customHeight="1">
      <c r="A13" s="38" t="n"/>
      <c r="B13" s="319" t="inlineStr">
        <is>
          <t>Position</t>
        </is>
      </c>
      <c r="C13" s="319" t="inlineStr">
        <is>
          <t>€</t>
        </is>
      </c>
      <c r="D13" s="319" t="inlineStr">
        <is>
          <t>Jahr 1</t>
        </is>
      </c>
      <c r="E13" s="319" t="inlineStr">
        <is>
          <t>Jahr 2</t>
        </is>
      </c>
      <c r="F13" s="319" t="inlineStr">
        <is>
          <t>Jahr 3</t>
        </is>
      </c>
      <c r="G13" s="319" t="inlineStr">
        <is>
          <t>Jahr 4</t>
        </is>
      </c>
      <c r="H13" s="319" t="inlineStr">
        <is>
          <t>Jahr 5</t>
        </is>
      </c>
      <c r="I13" s="319" t="inlineStr">
        <is>
          <t>Jahr 6</t>
        </is>
      </c>
      <c r="J13" s="319" t="inlineStr">
        <is>
          <t>Jahr 7</t>
        </is>
      </c>
      <c r="K13" s="319" t="inlineStr">
        <is>
          <t>Jahr 8</t>
        </is>
      </c>
      <c r="L13" s="319" t="inlineStr">
        <is>
          <t>Jahr 9</t>
        </is>
      </c>
      <c r="M13" s="319" t="inlineStr">
        <is>
          <t>Jahr 10</t>
        </is>
      </c>
    </row>
    <row r="14" ht="15" customHeight="1">
      <c r="B14" s="406" t="inlineStr">
        <is>
          <t>Umsatz (Brutto)</t>
        </is>
      </c>
      <c r="D14" s="410">
        <f>'Plan-GuV'!AN11</f>
        <v/>
      </c>
      <c r="E14" s="410">
        <f>'Plan-GuV'!AO11</f>
        <v/>
      </c>
      <c r="F14" s="410">
        <f>'Plan-GuV'!AP11</f>
        <v/>
      </c>
      <c r="G14" s="410">
        <f>'Plan-GuV'!AY11</f>
        <v/>
      </c>
      <c r="H14" s="410">
        <f>'Plan-GuV'!AZ11</f>
        <v/>
      </c>
      <c r="I14" s="410">
        <f>H14*(1+Annahmen!$C$110/Annahmen!$C$104+Annahmen!$C$34)</f>
        <v/>
      </c>
      <c r="J14" s="410">
        <f>I14*(1+Annahmen!$C$110/Annahmen!$C$104+Annahmen!$C$34)</f>
        <v/>
      </c>
      <c r="K14" s="410">
        <f>J14*(1+Annahmen!$C$110/Annahmen!$C$104+Annahmen!$C$34)</f>
        <v/>
      </c>
      <c r="L14" s="410">
        <f>K14*(1+Annahmen!$C$110/Annahmen!$C$104+Annahmen!$C$34)</f>
        <v/>
      </c>
      <c r="M14" s="410">
        <f>L14*(1+Annahmen!$C$110/Annahmen!$C$104+Annahmen!$C$34)</f>
        <v/>
      </c>
    </row>
    <row r="15" ht="15" customHeight="1">
      <c r="B15" s="314" t="inlineStr">
        <is>
          <t>EBIT</t>
        </is>
      </c>
      <c r="D15" s="323">
        <f>'Plan-GuV'!AN33</f>
        <v/>
      </c>
      <c r="E15" s="323">
        <f>'Plan-GuV'!AO33</f>
        <v/>
      </c>
      <c r="F15" s="323">
        <f>'Plan-GuV'!AP33</f>
        <v/>
      </c>
      <c r="G15" s="323">
        <f>'Plan-GuV'!AY33</f>
        <v/>
      </c>
      <c r="H15" s="323">
        <f>'Plan-GuV'!AZ33</f>
        <v/>
      </c>
      <c r="I15" s="323">
        <f>I14*'Plan-GuV'!$AZ$34</f>
        <v/>
      </c>
      <c r="J15" s="323">
        <f>J14*'Plan-GuV'!$AZ$34</f>
        <v/>
      </c>
      <c r="K15" s="323">
        <f>K14*'Plan-GuV'!$AZ$34</f>
        <v/>
      </c>
      <c r="L15" s="323">
        <f>L14*'Plan-GuV'!$AZ$34</f>
        <v/>
      </c>
      <c r="M15" s="323">
        <f>M14*'Plan-GuV'!$AZ$34</f>
        <v/>
      </c>
    </row>
    <row r="16" ht="15" customHeight="1">
      <c r="B16" s="406" t="inlineStr">
        <is>
          <t>Steuern auf EBIT</t>
        </is>
      </c>
      <c r="D16" s="410">
        <f>-D15*$C$9</f>
        <v/>
      </c>
      <c r="E16" s="410">
        <f>-E15*$C$9</f>
        <v/>
      </c>
      <c r="F16" s="410">
        <f>-F15*$C$9</f>
        <v/>
      </c>
      <c r="G16" s="410">
        <f>-G15*$C$9</f>
        <v/>
      </c>
      <c r="H16" s="410">
        <f>-H15*$C$9</f>
        <v/>
      </c>
      <c r="I16" s="410">
        <f>-I15*$C$9</f>
        <v/>
      </c>
      <c r="J16" s="410">
        <f>-J15*$C$9</f>
        <v/>
      </c>
      <c r="K16" s="410">
        <f>-K15*$C$9</f>
        <v/>
      </c>
      <c r="L16" s="410">
        <f>-L15*$C$9</f>
        <v/>
      </c>
      <c r="M16" s="410">
        <f>-M15*$C$9</f>
        <v/>
      </c>
    </row>
    <row r="17" ht="15" customHeight="1">
      <c r="B17" s="314" t="inlineStr">
        <is>
          <t>NOPAT</t>
        </is>
      </c>
      <c r="D17" s="323">
        <f>D15+D16</f>
        <v/>
      </c>
      <c r="E17" s="323">
        <f>E15+E16</f>
        <v/>
      </c>
      <c r="F17" s="323">
        <f>F15+F16</f>
        <v/>
      </c>
      <c r="G17" s="323">
        <f>G15+G16</f>
        <v/>
      </c>
      <c r="H17" s="323">
        <f>H15+H16</f>
        <v/>
      </c>
      <c r="I17" s="323">
        <f>I15+I16</f>
        <v/>
      </c>
      <c r="J17" s="323">
        <f>J15+J16</f>
        <v/>
      </c>
      <c r="K17" s="323">
        <f>K15+K16</f>
        <v/>
      </c>
      <c r="L17" s="323">
        <f>L15+L16</f>
        <v/>
      </c>
      <c r="M17" s="323">
        <f>M15+M16</f>
        <v/>
      </c>
    </row>
    <row r="18" ht="15" customHeight="1">
      <c r="B18" s="406" t="inlineStr">
        <is>
          <t>+ Abschreibungen</t>
        </is>
      </c>
      <c r="D18" s="410">
        <f>CAPEX!$F$20</f>
        <v/>
      </c>
      <c r="E18" s="410">
        <f>CAPEX!$F$20</f>
        <v/>
      </c>
      <c r="F18" s="410">
        <f>CAPEX!$F$20</f>
        <v/>
      </c>
      <c r="G18" s="410">
        <f>CAPEX!$F$20</f>
        <v/>
      </c>
      <c r="H18" s="410">
        <f>CAPEX!$F$20</f>
        <v/>
      </c>
      <c r="I18" s="410">
        <f>CAPEX!$F$20</f>
        <v/>
      </c>
      <c r="J18" s="410">
        <f>CAPEX!$F$20</f>
        <v/>
      </c>
      <c r="K18" s="410">
        <f>CAPEX!$F$20</f>
        <v/>
      </c>
      <c r="L18" s="410">
        <f>CAPEX!$F$20</f>
        <v/>
      </c>
      <c r="M18" s="410">
        <f>CAPEX!$F$20</f>
        <v/>
      </c>
    </row>
    <row r="19" ht="15" customHeight="1">
      <c r="B19" s="314" t="inlineStr">
        <is>
          <t>- CAPEX (Initial + Maintenance)</t>
        </is>
      </c>
      <c r="D19" s="323">
        <f>-$C$8</f>
        <v/>
      </c>
      <c r="E19" s="323">
        <f>-$C$8*$C$10</f>
        <v/>
      </c>
      <c r="F19" s="323">
        <f>-$C$8*$C$10</f>
        <v/>
      </c>
      <c r="G19" s="323">
        <f>-$C$8*$C$10</f>
        <v/>
      </c>
      <c r="H19" s="323">
        <f>-$C$8*$C$10</f>
        <v/>
      </c>
      <c r="I19" s="323">
        <f>-$C$8*$C$10</f>
        <v/>
      </c>
      <c r="J19" s="323">
        <f>-$C$8*$C$10</f>
        <v/>
      </c>
      <c r="K19" s="323">
        <f>-$C$8*$C$10</f>
        <v/>
      </c>
      <c r="L19" s="323">
        <f>-$C$8*$C$10</f>
        <v/>
      </c>
      <c r="M19" s="323">
        <f>-$C$8*$C$10</f>
        <v/>
      </c>
    </row>
    <row r="20" ht="15" customHeight="1">
      <c r="B20" s="406" t="inlineStr">
        <is>
          <t>Free Cash Flow (FCF)</t>
        </is>
      </c>
      <c r="C20" s="410">
        <f>-$C$8</f>
        <v/>
      </c>
      <c r="D20" s="324">
        <f>D17+D18+D19</f>
        <v/>
      </c>
      <c r="E20" s="324">
        <f>E17+E18+E19</f>
        <v/>
      </c>
      <c r="F20" s="324">
        <f>F17+F18+F19</f>
        <v/>
      </c>
      <c r="G20" s="324">
        <f>G17+G18+G19</f>
        <v/>
      </c>
      <c r="H20" s="324">
        <f>H17+H18+H19</f>
        <v/>
      </c>
      <c r="I20" s="324">
        <f>I17+I18+I19</f>
        <v/>
      </c>
      <c r="J20" s="324">
        <f>J17+J18+J19</f>
        <v/>
      </c>
      <c r="K20" s="324">
        <f>K17+K18+K19</f>
        <v/>
      </c>
      <c r="L20" s="324">
        <f>L17+L18+L19</f>
        <v/>
      </c>
      <c r="M20" s="324">
        <f>M17+M18+M19</f>
        <v/>
      </c>
    </row>
    <row r="21" ht="15" customHeight="1">
      <c r="B21" s="314" t="inlineStr">
        <is>
          <t>Diskontfaktor</t>
        </is>
      </c>
      <c r="D21" s="331">
        <f>1/(1+$C$5)^1</f>
        <v/>
      </c>
      <c r="E21" s="331">
        <f>1/(1+$C$5)^2</f>
        <v/>
      </c>
      <c r="F21" s="331">
        <f>1/(1+$C$5)^3</f>
        <v/>
      </c>
      <c r="G21" s="331">
        <f>1/(1+$C$5)^4</f>
        <v/>
      </c>
      <c r="H21" s="331">
        <f>1/(1+$C$5)^5</f>
        <v/>
      </c>
      <c r="I21" s="331">
        <f>1/(1+$C$5)^6</f>
        <v/>
      </c>
      <c r="J21" s="331">
        <f>1/(1+$C$5)^7</f>
        <v/>
      </c>
      <c r="K21" s="331">
        <f>1/(1+$C$5)^8</f>
        <v/>
      </c>
      <c r="L21" s="331">
        <f>1/(1+$C$5)^9</f>
        <v/>
      </c>
      <c r="M21" s="331">
        <f>1/(1+$C$5)^10</f>
        <v/>
      </c>
    </row>
    <row r="22" ht="15" customHeight="1">
      <c r="B22" s="406" t="inlineStr">
        <is>
          <t>Barwert FCF</t>
        </is>
      </c>
      <c r="D22" s="410">
        <f>D20*D21</f>
        <v/>
      </c>
      <c r="E22" s="410">
        <f>E20*E21</f>
        <v/>
      </c>
      <c r="F22" s="410">
        <f>F20*F21</f>
        <v/>
      </c>
      <c r="G22" s="410">
        <f>G20*G21</f>
        <v/>
      </c>
      <c r="H22" s="410">
        <f>H20*H21</f>
        <v/>
      </c>
      <c r="I22" s="410">
        <f>I20*I21</f>
        <v/>
      </c>
      <c r="J22" s="410">
        <f>J20*J21</f>
        <v/>
      </c>
      <c r="K22" s="410">
        <f>K20*K21</f>
        <v/>
      </c>
      <c r="L22" s="410">
        <f>L20*L21</f>
        <v/>
      </c>
      <c r="M22" s="410">
        <f>M20*M21</f>
        <v/>
      </c>
    </row>
    <row r="25" ht="15" customHeight="1">
      <c r="B25" s="314" t="inlineStr">
        <is>
          <t>C. TERMINAL VALUE &amp; UNTERNEHMENSBEWERTUNG</t>
        </is>
      </c>
    </row>
    <row r="26" ht="15" customHeight="1">
      <c r="B26" s="406" t="inlineStr">
        <is>
          <t>FCF Jahr 10</t>
        </is>
      </c>
      <c r="C26" s="410">
        <f>M20</f>
        <v/>
      </c>
    </row>
    <row r="27" ht="15" customHeight="1">
      <c r="B27" s="314" t="inlineStr">
        <is>
          <t>FCF Jahr 11 (geschätzt, +g)</t>
        </is>
      </c>
      <c r="C27" s="323">
        <f>C26*(1+$C$6)</f>
        <v/>
      </c>
    </row>
    <row r="28" ht="15" customHeight="1">
      <c r="B28" s="406" t="inlineStr">
        <is>
          <t>Terminal Value (Gordon Growth)</t>
        </is>
      </c>
      <c r="C28" s="410">
        <f>C27/($C$5-$C$6)</f>
        <v/>
      </c>
    </row>
    <row r="29" ht="15" customHeight="1">
      <c r="B29" s="314" t="inlineStr">
        <is>
          <t>Barwert Terminal Value</t>
        </is>
      </c>
      <c r="C29" s="323">
        <f>C28/(1+$C$5)^10</f>
        <v/>
      </c>
    </row>
    <row r="31" ht="15" customHeight="1">
      <c r="B31" s="314" t="inlineStr">
        <is>
          <t>Summe Barwerte FCF (J1-J10)</t>
        </is>
      </c>
      <c r="C31" s="323">
        <f>SUM(D22:M22)</f>
        <v/>
      </c>
    </row>
    <row r="32" ht="15" customHeight="1">
      <c r="B32" s="406" t="inlineStr">
        <is>
          <t>+ Barwert Terminal Value</t>
        </is>
      </c>
      <c r="C32" s="410">
        <f>C29</f>
        <v/>
      </c>
    </row>
    <row r="34" ht="15" customHeight="1">
      <c r="B34" s="406" t="inlineStr">
        <is>
          <t>ENTERPRISE VALUE (EV)</t>
        </is>
      </c>
      <c r="C34" s="324">
        <f>C31+C32</f>
        <v/>
      </c>
    </row>
    <row r="35" ht="15" customHeight="1">
      <c r="B35" s="314" t="inlineStr">
        <is>
          <t>- Nettoverschuldung (Bank + KfW)</t>
        </is>
      </c>
      <c r="C35" s="323">
        <f>'Plan-Bilanz'!AN30+'Plan-Bilanz'!AN31</f>
        <v/>
      </c>
      <c r="E35" s="314" t="inlineStr">
        <is>
          <t>Bankdarlehen + KfW zum Ende Jahr 1</t>
        </is>
      </c>
    </row>
    <row r="36" ht="15" customHeight="1">
      <c r="B36" s="406" t="inlineStr">
        <is>
          <t>EQUITY VALUE</t>
        </is>
      </c>
      <c r="C36" s="324">
        <f>C34-C35</f>
        <v/>
      </c>
    </row>
    <row r="38" ht="15" customHeight="1">
      <c r="B38" s="406" t="inlineStr">
        <is>
          <t>EV / Umsatz Jahr 1</t>
        </is>
      </c>
      <c r="C38" s="408">
        <f>IF(D14=0,"",C34/D14)</f>
        <v/>
      </c>
    </row>
    <row r="39" ht="15" customHeight="1">
      <c r="B39" s="314" t="inlineStr">
        <is>
          <t>EV / EBITDA Jahr 1</t>
        </is>
      </c>
      <c r="C39" s="317">
        <f>IF('Plan-GuV'!AN30=0,"",C34/'Plan-GuV'!AN30)</f>
        <v/>
      </c>
    </row>
    <row r="41" ht="15" customHeight="1">
      <c r="B41" s="314" t="inlineStr">
        <is>
          <t>IRR (Interne Verzinsung)</t>
        </is>
      </c>
      <c r="C41" s="328">
        <f>IRR(C20:M20)</f>
        <v/>
      </c>
    </row>
    <row r="42" ht="15" customHeight="1">
      <c r="B42" s="406" t="inlineStr">
        <is>
          <t>MOIC (Multiple on Invested Capital)</t>
        </is>
      </c>
      <c r="C42" s="332">
        <f>IF(C8=0,"",C36/C8)</f>
        <v/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6.xml><?xml version="1.0" encoding="utf-8"?>
<worksheet xmlns="http://schemas.openxmlformats.org/spreadsheetml/2006/main">
  <sheetPr>
    <tabColor rgb="000A1628"/>
    <outlinePr summaryBelow="1" summaryRight="1"/>
    <pageSetUpPr/>
  </sheetPr>
  <dimension ref="A1:E45"/>
  <sheetViews>
    <sheetView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30" customWidth="1" min="3" max="3"/>
    <col width="18" customWidth="1" min="4" max="4"/>
    <col width="30" customWidth="1" min="5" max="5"/>
  </cols>
  <sheetData>
    <row r="1" ht="24" customHeight="1">
      <c r="B1" s="405" t="inlineStr">
        <is>
          <t>PHYOX BioGenesis (NovaVersum GmbH) – Cap Table &amp; Verwässerungsanalyse</t>
        </is>
      </c>
    </row>
    <row r="2" ht="15" customHeight="1">
      <c r="B2" s="406" t="inlineStr">
        <is>
          <t>Seed/Pre-Series A | Holding: NovaVersum GmbH, München | Stand: März 2026</t>
        </is>
      </c>
    </row>
    <row r="4" ht="15" customHeight="1">
      <c r="B4" s="406" t="inlineStr">
        <is>
          <t>A. HOLDING-STRUKTUR (NovaVersum GmbH)</t>
        </is>
      </c>
    </row>
    <row r="5" ht="15" customHeight="1">
      <c r="A5" s="38" t="n"/>
      <c r="B5" s="319" t="inlineStr">
        <is>
          <t>Gesellschafter</t>
        </is>
      </c>
      <c r="C5" s="319" t="inlineStr">
        <is>
          <t>Anteile (%)</t>
        </is>
      </c>
      <c r="D5" s="319" t="inlineStr">
        <is>
          <t>Stammkapital (€)</t>
        </is>
      </c>
      <c r="E5" s="319" t="inlineStr">
        <is>
          <t>Stimmrechte (%)</t>
        </is>
      </c>
    </row>
    <row r="6" ht="15" customHeight="1">
      <c r="B6" s="406" t="inlineStr">
        <is>
          <t>Bernd Herrmann (CEO)</t>
        </is>
      </c>
      <c r="C6" s="411" t="n">
        <v>0.5</v>
      </c>
      <c r="D6" s="411" t="n">
        <v>12500</v>
      </c>
      <c r="E6" s="411" t="n">
        <v>0.5</v>
      </c>
    </row>
    <row r="7" ht="15" customHeight="1">
      <c r="B7" s="314" t="inlineStr">
        <is>
          <t>Daniel Huber</t>
        </is>
      </c>
      <c r="C7" s="329" t="n">
        <v>0.5</v>
      </c>
      <c r="D7" s="329" t="n">
        <v>12500</v>
      </c>
      <c r="E7" s="329" t="n">
        <v>0.5</v>
      </c>
    </row>
    <row r="8" ht="15" customHeight="1">
      <c r="B8" s="325" t="inlineStr">
        <is>
          <t>SUMME</t>
        </is>
      </c>
      <c r="C8" s="333" t="n">
        <v>1</v>
      </c>
      <c r="D8" s="333" t="n">
        <v>25000</v>
      </c>
      <c r="E8" s="333" t="n">
        <v>1</v>
      </c>
    </row>
    <row r="11" ht="15" customHeight="1">
      <c r="B11" s="314" t="inlineStr">
        <is>
          <t>B. SEED-RUNDE (Szenario)</t>
        </is>
      </c>
    </row>
    <row r="12" ht="15" customHeight="1">
      <c r="B12" s="406" t="inlineStr">
        <is>
          <t>Pre-Money Bewertung</t>
        </is>
      </c>
      <c r="C12" s="410">
        <f>'DCF-Bewertung'!C36*0.15</f>
        <v/>
      </c>
      <c r="E12" s="406" t="inlineStr">
        <is>
          <t>Konservativ: 15% des DCF Equity Value (236.1M)</t>
        </is>
      </c>
    </row>
    <row r="13" ht="15" customHeight="1">
      <c r="B13" s="314" t="inlineStr">
        <is>
          <t>Seed-Investitionssumme</t>
        </is>
      </c>
      <c r="C13" s="329" t="n">
        <v>500000</v>
      </c>
      <c r="E13" s="314" t="inlineStr">
        <is>
          <t>Ziel: €500k Seed</t>
        </is>
      </c>
    </row>
    <row r="14" ht="15" customHeight="1">
      <c r="B14" s="406" t="inlineStr">
        <is>
          <t>Post-Money Bewertung</t>
        </is>
      </c>
      <c r="C14" s="410">
        <f>C12+C13</f>
        <v/>
      </c>
      <c r="E14" s="406" t="inlineStr">
        <is>
          <t>Pre-Money + Investment</t>
        </is>
      </c>
    </row>
    <row r="15" ht="15" customHeight="1">
      <c r="B15" s="314" t="inlineStr">
        <is>
          <t>Investoren-Anteil</t>
        </is>
      </c>
      <c r="C15" s="318">
        <f>C13/C14</f>
        <v/>
      </c>
      <c r="E15" s="314" t="inlineStr">
        <is>
          <t>Investment / Post-Money</t>
        </is>
      </c>
    </row>
    <row r="16" ht="15" customHeight="1">
      <c r="B16" s="406" t="inlineStr">
        <is>
          <t>Gründer-Anteil (nach Runde)</t>
        </is>
      </c>
      <c r="C16" s="409">
        <f>1-C15</f>
        <v/>
      </c>
      <c r="E16" s="406" t="inlineStr">
        <is>
          <t>100% - Investoren</t>
        </is>
      </c>
    </row>
    <row r="19" ht="15" customHeight="1">
      <c r="B19" s="314" t="inlineStr">
        <is>
          <t>C. CAP TABLE NACH SEED-RUNDE</t>
        </is>
      </c>
    </row>
    <row r="20" ht="15" customHeight="1">
      <c r="A20" s="38" t="n"/>
      <c r="B20" s="319" t="inlineStr">
        <is>
          <t>Gesellschafter</t>
        </is>
      </c>
      <c r="C20" s="319" t="inlineStr">
        <is>
          <t>Anteile (%)</t>
        </is>
      </c>
      <c r="D20" s="319" t="inlineStr">
        <is>
          <t>Wert (€)</t>
        </is>
      </c>
      <c r="E20" s="319" t="inlineStr">
        <is>
          <t>Typ</t>
        </is>
      </c>
    </row>
    <row r="21" ht="15" customHeight="1">
      <c r="B21" s="314" t="inlineStr">
        <is>
          <t>Bernd Herrmann (CEO)</t>
        </is>
      </c>
      <c r="C21" s="318">
        <f>C16/2</f>
        <v/>
      </c>
      <c r="D21" s="323">
        <f>C21*C14</f>
        <v/>
      </c>
      <c r="E21" s="314" t="inlineStr">
        <is>
          <t>Common</t>
        </is>
      </c>
    </row>
    <row r="22" ht="15" customHeight="1">
      <c r="B22" s="406" t="inlineStr">
        <is>
          <t>Daniel Huber</t>
        </is>
      </c>
      <c r="C22" s="409">
        <f>C16/2</f>
        <v/>
      </c>
      <c r="D22" s="410">
        <f>C22*C14</f>
        <v/>
      </c>
      <c r="E22" s="406" t="inlineStr">
        <is>
          <t>Common</t>
        </is>
      </c>
    </row>
    <row r="23" ht="15" customHeight="1">
      <c r="B23" s="314" t="inlineStr">
        <is>
          <t>Seed Investoren</t>
        </is>
      </c>
      <c r="C23" s="318">
        <f>C15</f>
        <v/>
      </c>
      <c r="D23" s="323">
        <f>C13</f>
        <v/>
      </c>
      <c r="E23" s="314" t="inlineStr">
        <is>
          <t>Preferred</t>
        </is>
      </c>
    </row>
    <row r="24" ht="15" customHeight="1">
      <c r="B24" s="325" t="inlineStr">
        <is>
          <t>SUMME</t>
        </is>
      </c>
      <c r="C24" s="328">
        <f>C21+C22+C23</f>
        <v/>
      </c>
      <c r="D24" s="324">
        <f>C14</f>
        <v/>
      </c>
      <c r="E24" s="77" t="n"/>
    </row>
    <row r="26" ht="15" customHeight="1">
      <c r="B26" s="52" t="n"/>
      <c r="C26" s="22" t="n"/>
    </row>
    <row r="27" ht="15" customHeight="1">
      <c r="B27" s="314" t="inlineStr">
        <is>
          <t>D. SERIES A VERWÄSSERUNGSSZENARIO</t>
        </is>
      </c>
      <c r="C27" s="22" t="n"/>
    </row>
    <row r="28" ht="15" customHeight="1">
      <c r="B28" s="406" t="inlineStr">
        <is>
          <t>Pre-Money (3x Step-up)</t>
        </is>
      </c>
      <c r="C28" s="410">
        <f>C14*3</f>
        <v/>
      </c>
      <c r="E28" s="406" t="inlineStr">
        <is>
          <t>3x Step-up vom Post-Money Seed</t>
        </is>
      </c>
    </row>
    <row r="29" ht="15" customHeight="1">
      <c r="B29" s="314" t="inlineStr">
        <is>
          <t>Series A Investment</t>
        </is>
      </c>
      <c r="C29" s="329" t="n">
        <v>2000000</v>
      </c>
    </row>
    <row r="30" ht="15" customHeight="1">
      <c r="B30" s="406" t="inlineStr">
        <is>
          <t>Post-Money</t>
        </is>
      </c>
      <c r="C30" s="410">
        <f>C28+C29</f>
        <v/>
      </c>
    </row>
    <row r="31" ht="15" customHeight="1">
      <c r="B31" s="22" t="n"/>
      <c r="C31" s="22" t="n"/>
    </row>
    <row r="32" ht="15" customHeight="1">
      <c r="B32" s="406" t="inlineStr">
        <is>
          <t>Bernd Herrmann</t>
        </is>
      </c>
      <c r="C32" s="409">
        <f>C21*C14/C30</f>
        <v/>
      </c>
    </row>
    <row r="33" ht="15" customHeight="1">
      <c r="B33" s="314" t="inlineStr">
        <is>
          <t>Daniel Huber</t>
        </is>
      </c>
      <c r="C33" s="318">
        <f>C22*C14/C30</f>
        <v/>
      </c>
    </row>
    <row r="34" ht="15" customHeight="1">
      <c r="B34" s="406" t="inlineStr">
        <is>
          <t>Seed Investoren</t>
        </is>
      </c>
      <c r="C34" s="409">
        <f>C23*C14/C30</f>
        <v/>
      </c>
    </row>
    <row r="35" ht="15" customHeight="1">
      <c r="B35" s="314" t="inlineStr">
        <is>
          <t>Series A Investoren</t>
        </is>
      </c>
      <c r="C35" s="318">
        <f>C29/C30</f>
        <v/>
      </c>
    </row>
    <row r="36" ht="15" customHeight="1">
      <c r="B36" s="325" t="inlineStr">
        <is>
          <t>SUMME</t>
        </is>
      </c>
      <c r="C36" s="328">
        <f>SUM(C32:C35)</f>
        <v/>
      </c>
    </row>
    <row r="38">
      <c r="B38" s="406" t="inlineStr">
        <is>
          <t>E. HOLDING-STRUKTUR</t>
        </is>
      </c>
    </row>
    <row r="39">
      <c r="B39" s="314" t="inlineStr">
        <is>
          <t>Holdinggesellschaft:</t>
        </is>
      </c>
      <c r="C39" s="314" t="inlineStr">
        <is>
          <t>NovaVersum GmbH</t>
        </is>
      </c>
    </row>
    <row r="40">
      <c r="B40" s="406" t="inlineStr">
        <is>
          <t>Sitz:</t>
        </is>
      </c>
      <c r="C40" s="406" t="inlineStr">
        <is>
          <t>Burgstrasse 12, 80331 München</t>
        </is>
      </c>
    </row>
    <row r="41">
      <c r="B41" s="314" t="inlineStr">
        <is>
          <t>Registergericht:</t>
        </is>
      </c>
      <c r="C41" s="314" t="inlineStr">
        <is>
          <t>Amtsgericht München, HRB 298218</t>
        </is>
      </c>
    </row>
    <row r="42">
      <c r="B42" s="406" t="inlineStr">
        <is>
          <t>CEO:</t>
        </is>
      </c>
      <c r="C42" s="406" t="inlineStr">
        <is>
          <t>Bernd Herrmann</t>
        </is>
      </c>
    </row>
    <row r="43">
      <c r="B43" s="314" t="inlineStr">
        <is>
          <t>Operative Tochter:</t>
        </is>
      </c>
      <c r="C43" s="314" t="inlineStr">
        <is>
          <t>PHYOX BioGenesis (100% Tochter der NovaVersum GmbH)</t>
        </is>
      </c>
    </row>
    <row r="44">
      <c r="B44" s="406" t="inlineStr">
        <is>
          <t>Produktionsstandort:</t>
        </is>
      </c>
      <c r="C44" s="406" t="inlineStr">
        <is>
          <t>Kroatien</t>
        </is>
      </c>
    </row>
    <row r="45">
      <c r="B45" s="314" t="inlineStr">
        <is>
          <t>Struktur:</t>
        </is>
      </c>
      <c r="C45" s="314" t="inlineStr">
        <is>
          <t>NovaVersum GmbH hält 100% an PHYOX BioGenesis. Investoren beteiligen sich an der Holding.</t>
        </is>
      </c>
    </row>
  </sheetData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7.xml><?xml version="1.0" encoding="utf-8"?>
<worksheet xmlns="http://schemas.openxmlformats.org/spreadsheetml/2006/main">
  <sheetPr>
    <tabColor rgb="0000B4A0"/>
    <outlinePr summaryBelow="1" summaryRight="1"/>
    <pageSetUpPr/>
  </sheetPr>
  <dimension ref="A1:E215"/>
  <sheetViews>
    <sheetView zoomScaleNormal="100" workbookViewId="0">
      <pane ySplit="1" topLeftCell="A2" activePane="bottomLeft" state="frozen"/>
      <selection pane="bottomLeft" activeCell="B1" sqref="B1"/>
      <selection pane="bottomLeft" activeCell="A167" sqref="A167"/>
      <selection pane="bottomRight" activeCell="C123" sqref="C123"/>
    </sheetView>
  </sheetViews>
  <sheetFormatPr baseColWidth="10" defaultColWidth="8.6640625" defaultRowHeight="15" customHeight="1"/>
  <cols>
    <col width="10" customWidth="1" min="1" max="1"/>
    <col width="30" customWidth="1" min="2" max="2"/>
    <col width="30" customWidth="1" min="3" max="3"/>
    <col width="13" customWidth="1" min="4" max="4"/>
    <col width="30" customWidth="1" min="5" max="5"/>
  </cols>
  <sheetData>
    <row r="1" ht="24" customHeight="1">
      <c r="B1" s="313" t="inlineStr">
        <is>
          <t>PHYOX BioGenesis (NovaVersum GmbH) – Financial Model</t>
        </is>
      </c>
      <c r="C1" s="412" t="n"/>
      <c r="D1" s="412" t="n"/>
      <c r="E1" s="413" t="n"/>
    </row>
    <row r="2" ht="19.5" customHeight="1">
      <c r="B2" s="406" t="inlineStr">
        <is>
          <t>Annahmen &amp; Steuerungsparameter | Stand: Februar 2026</t>
        </is>
      </c>
      <c r="C2" s="412" t="n"/>
      <c r="D2" s="412" t="n"/>
      <c r="E2" s="413" t="n"/>
    </row>
    <row r="3"/>
    <row r="4" ht="15.75" customHeight="1">
      <c r="B4" s="325" t="inlineStr">
        <is>
          <t>1. PRODUKTIONSPARAMETER</t>
        </is>
      </c>
      <c r="C4" s="412" t="n"/>
      <c r="D4" s="412" t="n"/>
      <c r="E4" s="413" t="n"/>
    </row>
    <row r="5" ht="15.75" customHeight="1">
      <c r="B5" s="334" t="inlineStr">
        <is>
          <t>Parameter</t>
        </is>
      </c>
      <c r="C5" s="334" t="inlineStr">
        <is>
          <t>Wert</t>
        </is>
      </c>
      <c r="D5" s="334" t="inlineStr">
        <is>
          <t>Einheit</t>
        </is>
      </c>
      <c r="E5" s="334" t="inlineStr">
        <is>
          <t>Erläuterung</t>
        </is>
      </c>
    </row>
    <row r="6" ht="15" customHeight="1">
      <c r="B6" s="335" t="inlineStr">
        <is>
          <t>Anzahl Photobioreaktoren (PBR)</t>
        </is>
      </c>
      <c r="C6" s="336" t="n">
        <v>11</v>
      </c>
      <c r="D6" s="406" t="inlineStr">
        <is>
          <t>Stück</t>
        </is>
      </c>
      <c r="E6" s="406" t="inlineStr">
        <is>
          <t>Tubular PBR, je 10.000 L</t>
        </is>
      </c>
    </row>
    <row r="7" ht="15" customHeight="1">
      <c r="B7" s="314" t="inlineStr">
        <is>
          <t>Volumen pro PBR</t>
        </is>
      </c>
      <c r="C7" s="336" t="n">
        <v>10000</v>
      </c>
      <c r="D7" s="314" t="inlineStr">
        <is>
          <t>Liter</t>
        </is>
      </c>
      <c r="E7" s="314" t="inlineStr">
        <is>
          <t>Systemvolumen einzelner Reaktor</t>
        </is>
      </c>
    </row>
    <row r="8" ht="15" customHeight="1">
      <c r="B8" s="335" t="inlineStr">
        <is>
          <t>Gesamtvolumen</t>
        </is>
      </c>
      <c r="C8" s="414">
        <f>C6*C7</f>
        <v/>
      </c>
      <c r="D8" s="406" t="inlineStr">
        <is>
          <t>Liter</t>
        </is>
      </c>
      <c r="E8" s="406" t="inlineStr">
        <is>
          <t>Formel: Anzahl PBR × Volumen/PBR</t>
        </is>
      </c>
    </row>
    <row r="9" ht="15" customHeight="1">
      <c r="B9" s="314" t="inlineStr">
        <is>
          <t>Jahresproduktion (Kapazität)</t>
        </is>
      </c>
      <c r="C9" s="327">
        <f>C13*C8*C14/1000</f>
        <v/>
      </c>
      <c r="D9" s="314" t="inlineStr">
        <is>
          <t>kg/Jahr</t>
        </is>
      </c>
      <c r="E9" s="326" t="inlineStr">
        <is>
          <t>Formel: Biomassedichte(g/l) × Volumen(l) × Tage / 1000</t>
        </is>
      </c>
    </row>
    <row r="10" ht="15" customHeight="1">
      <c r="B10" s="335" t="inlineStr">
        <is>
          <t>Auslastungsgrad</t>
        </is>
      </c>
      <c r="C10" s="336" t="n">
        <v>1</v>
      </c>
      <c r="D10" s="406" t="inlineStr">
        <is>
          <t>%</t>
        </is>
      </c>
      <c r="E10" s="406" t="inlineStr">
        <is>
          <t>Anpassbar: 60%-100%</t>
        </is>
      </c>
    </row>
    <row r="11" ht="15" customHeight="1">
      <c r="B11" s="314" t="inlineStr">
        <is>
          <t>Tatsächliche Produktion</t>
        </is>
      </c>
      <c r="C11" s="337">
        <f>C9*C10</f>
        <v/>
      </c>
      <c r="D11" s="314" t="inlineStr">
        <is>
          <t>kg/Jahr</t>
        </is>
      </c>
      <c r="E11" s="314" t="inlineStr">
        <is>
          <t>Formel: Kapazität × Auslastung</t>
        </is>
      </c>
    </row>
    <row r="12" ht="15" customHeight="1">
      <c r="B12" s="335" t="inlineStr">
        <is>
          <t>Verdunstungsrate pro Tag</t>
        </is>
      </c>
      <c r="C12" s="336" t="n">
        <v>0.01</v>
      </c>
      <c r="D12" s="406" t="inlineStr">
        <is>
          <t>%/Tag</t>
        </is>
      </c>
      <c r="E12" s="406" t="inlineStr">
        <is>
          <t>1% des Systemvolumens</t>
        </is>
      </c>
    </row>
    <row r="13" ht="15" customHeight="1">
      <c r="B13" s="314" t="inlineStr">
        <is>
          <t>Biomassekonzentration</t>
        </is>
      </c>
      <c r="C13" s="338">
        <f>C104</f>
        <v/>
      </c>
      <c r="D13" s="314" t="inlineStr">
        <is>
          <t>g/L</t>
        </is>
      </c>
      <c r="E13" s="326" t="inlineStr">
        <is>
          <t>Verknüpft mit Sektion 10 (Base Start, Zeile 104)</t>
        </is>
      </c>
    </row>
    <row r="14" ht="15" customHeight="1">
      <c r="B14" s="326" t="inlineStr">
        <is>
          <t>Produktionstage / Jahr</t>
        </is>
      </c>
      <c r="C14" s="339" t="n">
        <v>360</v>
      </c>
      <c r="D14" s="326" t="inlineStr">
        <is>
          <t>Tage</t>
        </is>
      </c>
      <c r="E14" s="326" t="inlineStr">
        <is>
          <t>Betriebstage (exkl. 5 Tage Wartung)</t>
        </is>
      </c>
    </row>
    <row r="15" ht="15.75" customHeight="1">
      <c r="B15" s="325" t="inlineStr">
        <is>
          <t>2. ENERGIEPARAMETER</t>
        </is>
      </c>
      <c r="C15" s="412" t="n"/>
      <c r="D15" s="412" t="n"/>
      <c r="E15" s="413" t="n"/>
    </row>
    <row r="16" ht="15.75" customHeight="1">
      <c r="B16" s="334" t="inlineStr">
        <is>
          <t>Parameter</t>
        </is>
      </c>
      <c r="C16" s="334" t="inlineStr">
        <is>
          <t>Wert</t>
        </is>
      </c>
      <c r="D16" s="334" t="inlineStr">
        <is>
          <t>Einheit</t>
        </is>
      </c>
      <c r="E16" s="334" t="inlineStr">
        <is>
          <t>Erläuterung</t>
        </is>
      </c>
    </row>
    <row r="17" ht="15" customHeight="1">
      <c r="B17" s="335" t="inlineStr">
        <is>
          <t>Jahresenergiebedarf</t>
        </is>
      </c>
      <c r="C17" s="336" t="n">
        <v>960000</v>
      </c>
      <c r="D17" s="314" t="inlineStr">
        <is>
          <t>kWh/Jahr</t>
        </is>
      </c>
      <c r="E17" s="314" t="inlineStr">
        <is>
          <t>Gesamter Strombedarf der Anlage</t>
        </is>
      </c>
    </row>
    <row r="18" ht="15" customHeight="1">
      <c r="B18" s="406" t="inlineStr">
        <is>
          <t>Netzstrompreis (ohne PV)</t>
        </is>
      </c>
      <c r="C18" s="336" t="n">
        <v>0.24</v>
      </c>
      <c r="D18" s="406" t="inlineStr">
        <is>
          <t>€/kWh</t>
        </is>
      </c>
      <c r="E18" s="406" t="inlineStr">
        <is>
          <t>Reiner Netzbezugspreis</t>
        </is>
      </c>
    </row>
    <row r="19" ht="15" customHeight="1">
      <c r="B19" s="335" t="inlineStr">
        <is>
          <t>PV-Eigenversorgungsquote</t>
        </is>
      </c>
      <c r="C19" s="336" t="n">
        <v>0.7</v>
      </c>
      <c r="D19" s="314" t="inlineStr">
        <is>
          <t>%</t>
        </is>
      </c>
      <c r="E19" s="314" t="inlineStr">
        <is>
          <t>70% Eigenversorgung durch PV</t>
        </is>
      </c>
    </row>
    <row r="20" ht="15" customHeight="1">
      <c r="B20" s="406" t="inlineStr">
        <is>
          <t>PV-Stromgestehungskosten</t>
        </is>
      </c>
      <c r="C20" s="336" t="n">
        <v>0.05</v>
      </c>
      <c r="D20" s="406" t="inlineStr">
        <is>
          <t>€/kWh</t>
        </is>
      </c>
      <c r="E20" s="406" t="inlineStr">
        <is>
          <t>LCOE der eigenen PV-Anlage</t>
        </is>
      </c>
    </row>
    <row r="21" ht="15" customHeight="1">
      <c r="B21" s="335" t="inlineStr">
        <is>
          <t>Mischpreis Energie</t>
        </is>
      </c>
      <c r="C21" s="340">
        <f>C19*C20+(1-C19)*C18</f>
        <v/>
      </c>
      <c r="D21" s="314" t="inlineStr">
        <is>
          <t>€/kWh</t>
        </is>
      </c>
      <c r="E21" s="314" t="inlineStr">
        <is>
          <t>Formel: PV-Quote×PV-Preis + (1-PV-Quote)×Netzpreis</t>
        </is>
      </c>
    </row>
    <row r="22" ht="15" customHeight="1">
      <c r="B22" s="406" t="inlineStr">
        <is>
          <t>Jahresenergiekosten</t>
        </is>
      </c>
      <c r="C22" s="415">
        <f>C17*C21</f>
        <v/>
      </c>
      <c r="D22" s="406" t="inlineStr">
        <is>
          <t>€/Jahr</t>
        </is>
      </c>
      <c r="E22" s="406" t="inlineStr">
        <is>
          <t>Formel: Energiebedarf × Mischpreis</t>
        </is>
      </c>
    </row>
    <row r="23" ht="15" customHeight="1">
      <c r="B23" s="335" t="inlineStr">
        <is>
          <t>PV-Anlage Leistung</t>
        </is>
      </c>
      <c r="C23" s="336" t="n">
        <v>200</v>
      </c>
      <c r="D23" s="314" t="inlineStr">
        <is>
          <t>kWp</t>
        </is>
      </c>
      <c r="E23" s="314" t="inlineStr">
        <is>
          <t>Installierte PV-Kapazität</t>
        </is>
      </c>
    </row>
    <row r="25" ht="15.75" customHeight="1">
      <c r="B25" s="325" t="inlineStr">
        <is>
          <t>3. WASSERPARAMETER</t>
        </is>
      </c>
      <c r="C25" s="412" t="n"/>
      <c r="D25" s="412" t="n"/>
      <c r="E25" s="413" t="n"/>
    </row>
    <row r="26" ht="15.75" customHeight="1">
      <c r="B26" s="334" t="inlineStr">
        <is>
          <t>Parameter</t>
        </is>
      </c>
      <c r="C26" s="334" t="inlineStr">
        <is>
          <t>Wert</t>
        </is>
      </c>
      <c r="D26" s="334" t="inlineStr">
        <is>
          <t>Einheit</t>
        </is>
      </c>
      <c r="E26" s="334" t="inlineStr">
        <is>
          <t>Erläuterung</t>
        </is>
      </c>
    </row>
    <row r="27" ht="15" customHeight="1">
      <c r="B27" s="335" t="inlineStr">
        <is>
          <t>Wasserpreis (aufbereitet)</t>
        </is>
      </c>
      <c r="C27" s="336" t="n">
        <v>0.15</v>
      </c>
      <c r="D27" s="314" t="inlineStr">
        <is>
          <t>€/L</t>
        </is>
      </c>
      <c r="E27" s="314" t="inlineStr">
        <is>
          <t>Preis für aufbereitetes Prozesswasser</t>
        </is>
      </c>
    </row>
    <row r="28" ht="15" customHeight="1">
      <c r="B28" s="406" t="inlineStr">
        <is>
          <t>Täglicher Verdunstungsverlust</t>
        </is>
      </c>
      <c r="C28" s="414">
        <f>C8*C12</f>
        <v/>
      </c>
      <c r="D28" s="406" t="inlineStr">
        <is>
          <t>L/Tag</t>
        </is>
      </c>
      <c r="E28" s="406" t="inlineStr">
        <is>
          <t>Formel: Gesamtvolumen × Verdunstungsrate</t>
        </is>
      </c>
    </row>
    <row r="29" ht="15" customHeight="1">
      <c r="B29" s="335" t="inlineStr">
        <is>
          <t>Jahreswasserbedarf</t>
        </is>
      </c>
      <c r="C29" s="337">
        <f>C28*365</f>
        <v/>
      </c>
      <c r="D29" s="314" t="inlineStr">
        <is>
          <t>L/Jahr</t>
        </is>
      </c>
      <c r="E29" s="314" t="inlineStr">
        <is>
          <t>Formel: Tagesverlust × 365</t>
        </is>
      </c>
    </row>
    <row r="30" ht="15" customHeight="1">
      <c r="B30" s="406" t="inlineStr">
        <is>
          <t>Jahreswasserkosten</t>
        </is>
      </c>
      <c r="C30" s="415">
        <f>C29*C27</f>
        <v/>
      </c>
      <c r="D30" s="406" t="inlineStr">
        <is>
          <t>€/Jahr</t>
        </is>
      </c>
      <c r="E30" s="406" t="inlineStr">
        <is>
          <t>Formel: Jahresbedarf × Wasserpreis</t>
        </is>
      </c>
    </row>
    <row r="32" ht="15.75" customHeight="1">
      <c r="B32" s="325" t="inlineStr">
        <is>
          <t>4. WIRTSCHAFTLICHE PARAMETER</t>
        </is>
      </c>
      <c r="C32" s="412" t="n"/>
      <c r="D32" s="412" t="n"/>
      <c r="E32" s="413" t="n"/>
    </row>
    <row r="33" ht="15.75" customHeight="1">
      <c r="B33" s="334" t="inlineStr">
        <is>
          <t>Parameter</t>
        </is>
      </c>
      <c r="C33" s="334" t="inlineStr">
        <is>
          <t>Wert</t>
        </is>
      </c>
      <c r="D33" s="334" t="inlineStr">
        <is>
          <t>Einheit</t>
        </is>
      </c>
      <c r="E33" s="334" t="inlineStr">
        <is>
          <t>Erläuterung</t>
        </is>
      </c>
    </row>
    <row r="34" ht="15" customHeight="1">
      <c r="B34" s="335" t="inlineStr">
        <is>
          <t>Inflationsrate p.a.</t>
        </is>
      </c>
      <c r="C34" s="336" t="n">
        <v>0.025</v>
      </c>
      <c r="D34" s="406" t="inlineStr">
        <is>
          <t>%</t>
        </is>
      </c>
      <c r="E34" s="406" t="inlineStr">
        <is>
          <t>2,5% jährliche Inflation</t>
        </is>
      </c>
    </row>
    <row r="35" ht="15" customHeight="1">
      <c r="B35" s="314" t="inlineStr">
        <is>
          <t>WACC (Diskontierungssatz)</t>
        </is>
      </c>
      <c r="C35" s="336" t="n">
        <v>0.08</v>
      </c>
      <c r="D35" s="314" t="inlineStr">
        <is>
          <t>%</t>
        </is>
      </c>
      <c r="E35" s="314" t="inlineStr">
        <is>
          <t>Weighted Average Cost of Capital</t>
        </is>
      </c>
    </row>
    <row r="36" ht="15" customHeight="1">
      <c r="B36" s="335" t="inlineStr">
        <is>
          <t>Planungshorizont</t>
        </is>
      </c>
      <c r="C36" s="336" t="n">
        <v>10</v>
      </c>
      <c r="D36" s="406" t="inlineStr">
        <is>
          <t>Jahre</t>
        </is>
      </c>
      <c r="E36" s="406" t="inlineStr">
        <is>
          <t>Projektionszeitraum</t>
        </is>
      </c>
    </row>
    <row r="37" ht="15" customHeight="1">
      <c r="B37" s="314" t="inlineStr">
        <is>
          <t>Restwert (% der CAPEX)</t>
        </is>
      </c>
      <c r="C37" s="336" t="n">
        <v>0.2</v>
      </c>
      <c r="D37" s="314" t="inlineStr">
        <is>
          <t>%</t>
        </is>
      </c>
      <c r="E37" s="314" t="inlineStr">
        <is>
          <t>20% Restwert nach Planungshorizont</t>
        </is>
      </c>
    </row>
    <row r="38" ht="15" customHeight="1">
      <c r="B38" s="335" t="inlineStr">
        <is>
          <t>Verkaufspreis Biomasse (Basis)</t>
        </is>
      </c>
      <c r="C38" s="342">
        <f>C84</f>
        <v/>
      </c>
      <c r="D38" s="406" t="inlineStr">
        <is>
          <t>€/kg</t>
        </is>
      </c>
      <c r="E38" s="326" t="inlineStr">
        <is>
          <t>Mischpreis Base Case (B2B×Anteil + B2C×Anteil)</t>
        </is>
      </c>
    </row>
    <row r="40" ht="15.75" customHeight="1">
      <c r="B40" s="325" t="inlineStr">
        <is>
          <t>5. FINANZIERUNGSPARAMETER</t>
        </is>
      </c>
      <c r="C40" s="412" t="n"/>
      <c r="D40" s="412" t="n"/>
      <c r="E40" s="413" t="n"/>
    </row>
    <row r="41" ht="15.75" customHeight="1">
      <c r="B41" s="334" t="inlineStr">
        <is>
          <t>Parameter</t>
        </is>
      </c>
      <c r="C41" s="334" t="inlineStr">
        <is>
          <t>Wert</t>
        </is>
      </c>
      <c r="D41" s="334" t="inlineStr">
        <is>
          <t>Einheit</t>
        </is>
      </c>
      <c r="E41" s="334" t="inlineStr">
        <is>
          <t>Erläuterung</t>
        </is>
      </c>
    </row>
    <row r="42" ht="15" customHeight="1">
      <c r="B42" s="335" t="inlineStr">
        <is>
          <t>Eigenkapitalquote</t>
        </is>
      </c>
      <c r="C42" s="336" t="n">
        <v>0.3</v>
      </c>
      <c r="D42" s="406" t="inlineStr">
        <is>
          <t>%</t>
        </is>
      </c>
      <c r="E42" s="406" t="inlineStr">
        <is>
          <t>30% Eigenkapital</t>
        </is>
      </c>
    </row>
    <row r="43" ht="15" customHeight="1">
      <c r="B43" s="314" t="inlineStr">
        <is>
          <t>Bankdarlehen-Quote</t>
        </is>
      </c>
      <c r="C43" s="336" t="n">
        <v>0.4</v>
      </c>
      <c r="D43" s="314" t="inlineStr">
        <is>
          <t>%</t>
        </is>
      </c>
      <c r="E43" s="314" t="inlineStr">
        <is>
          <t>40% Bankfinanzierung</t>
        </is>
      </c>
    </row>
    <row r="44" ht="15" customHeight="1">
      <c r="B44" s="335" t="inlineStr">
        <is>
          <t>Fördermittel-Quote</t>
        </is>
      </c>
      <c r="C44" s="336" t="n">
        <v>0.2</v>
      </c>
      <c r="D44" s="406" t="inlineStr">
        <is>
          <t>%</t>
        </is>
      </c>
      <c r="E44" s="406" t="inlineStr">
        <is>
          <t>20% Zuschüsse (non-dilutive)</t>
        </is>
      </c>
    </row>
    <row r="45" ht="15" customHeight="1">
      <c r="B45" s="314" t="inlineStr">
        <is>
          <t>KfW/Impact-Quote</t>
        </is>
      </c>
      <c r="C45" s="336" t="n">
        <v>0.1</v>
      </c>
      <c r="D45" s="314" t="inlineStr">
        <is>
          <t>%</t>
        </is>
      </c>
      <c r="E45" s="314" t="inlineStr">
        <is>
          <t>10% KfW Impact-Invest</t>
        </is>
      </c>
    </row>
    <row r="46" ht="15" customHeight="1">
      <c r="B46" s="335" t="inlineStr">
        <is>
          <t>Zinssatz Bankdarlehen</t>
        </is>
      </c>
      <c r="C46" s="336" t="n">
        <v>0.045</v>
      </c>
      <c r="D46" s="406" t="inlineStr">
        <is>
          <t>%</t>
        </is>
      </c>
      <c r="E46" s="406" t="inlineStr">
        <is>
          <t>4,5% p.a., 10 Jahre Laufzeit</t>
        </is>
      </c>
    </row>
    <row r="47" ht="15" customHeight="1">
      <c r="B47" s="314" t="inlineStr">
        <is>
          <t>Laufzeit Bankdarlehen</t>
        </is>
      </c>
      <c r="C47" s="336" t="n">
        <v>10</v>
      </c>
      <c r="D47" s="314" t="inlineStr">
        <is>
          <t>Jahre</t>
        </is>
      </c>
      <c r="E47" s="314" t="inlineStr">
        <is>
          <t>Lineare Tilgung</t>
        </is>
      </c>
    </row>
    <row r="48" ht="15" customHeight="1">
      <c r="B48" s="335" t="inlineStr">
        <is>
          <t>Zinssatz KfW</t>
        </is>
      </c>
      <c r="C48" s="336" t="n">
        <v>0.075</v>
      </c>
      <c r="D48" s="406" t="inlineStr">
        <is>
          <t>%</t>
        </is>
      </c>
      <c r="E48" s="406" t="inlineStr">
        <is>
          <t>7,5% p.a., 5 Jahre Laufzeit</t>
        </is>
      </c>
    </row>
    <row r="49" ht="15" customHeight="1">
      <c r="B49" s="314" t="inlineStr">
        <is>
          <t>Laufzeit KfW</t>
        </is>
      </c>
      <c r="C49" s="336" t="n">
        <v>5</v>
      </c>
      <c r="D49" s="314" t="inlineStr">
        <is>
          <t>Jahre</t>
        </is>
      </c>
      <c r="E49" s="314" t="inlineStr">
        <is>
          <t>Lineare Tilgung</t>
        </is>
      </c>
    </row>
    <row r="51" ht="15.75" customHeight="1">
      <c r="B51" s="325" t="inlineStr">
        <is>
          <t>6. NÄHRSTOFF- UND MATERIALPARAMETER</t>
        </is>
      </c>
      <c r="C51" s="412" t="n"/>
      <c r="D51" s="412" t="n"/>
      <c r="E51" s="413" t="n"/>
    </row>
    <row r="52" ht="15.75" customHeight="1">
      <c r="B52" s="334" t="inlineStr">
        <is>
          <t>Parameter</t>
        </is>
      </c>
      <c r="C52" s="334" t="inlineStr">
        <is>
          <t>Wert</t>
        </is>
      </c>
      <c r="D52" s="334" t="inlineStr">
        <is>
          <t>Einheit</t>
        </is>
      </c>
      <c r="E52" s="334" t="inlineStr">
        <is>
          <t>Erläuterung</t>
        </is>
      </c>
    </row>
    <row r="53" ht="15" customHeight="1">
      <c r="B53" s="335" t="inlineStr">
        <is>
          <t>Stickstoffquellen (Nitrat, Harnstoff)</t>
        </is>
      </c>
      <c r="C53" s="336" t="n">
        <v>15000</v>
      </c>
      <c r="D53" s="314" t="inlineStr">
        <is>
          <t>€/Jahr</t>
        </is>
      </c>
      <c r="E53" s="314" t="inlineStr">
        <is>
          <t>Stickstoff-Nährstoffe</t>
        </is>
      </c>
    </row>
    <row r="54" ht="15" customHeight="1">
      <c r="B54" s="406" t="inlineStr">
        <is>
          <t>CO₂-Versorgung inkl. Tankmiete</t>
        </is>
      </c>
      <c r="C54" s="336" t="n">
        <v>12000</v>
      </c>
      <c r="D54" s="406" t="inlineStr">
        <is>
          <t>€/Jahr</t>
        </is>
      </c>
      <c r="E54" s="406" t="inlineStr">
        <is>
          <t>Linde CO₂-Lieferung</t>
        </is>
      </c>
    </row>
    <row r="55" ht="15" customHeight="1">
      <c r="B55" s="335" t="inlineStr">
        <is>
          <t>Spurenelemente (Fe, Mn, Zn etc.)</t>
        </is>
      </c>
      <c r="C55" s="336" t="n">
        <v>4000</v>
      </c>
      <c r="D55" s="314" t="inlineStr">
        <is>
          <t>€/Jahr</t>
        </is>
      </c>
      <c r="E55" s="314" t="inlineStr">
        <is>
          <t>Mikronährstoffe</t>
        </is>
      </c>
    </row>
    <row r="56" ht="15" customHeight="1">
      <c r="B56" s="406" t="inlineStr">
        <is>
          <t>Phosphat</t>
        </is>
      </c>
      <c r="C56" s="336" t="n">
        <v>2600</v>
      </c>
      <c r="D56" s="406" t="inlineStr">
        <is>
          <t>€/Jahr</t>
        </is>
      </c>
      <c r="E56" s="406" t="inlineStr">
        <is>
          <t>Phosphat-Quelle</t>
        </is>
      </c>
    </row>
    <row r="57" ht="15" customHeight="1">
      <c r="B57" s="335" t="inlineStr">
        <is>
          <t>Summe Nährstoffe + CO₂</t>
        </is>
      </c>
      <c r="C57" s="343">
        <f>SUM(C53:C56)</f>
        <v/>
      </c>
      <c r="D57" s="314" t="inlineStr">
        <is>
          <t>€/Jahr</t>
        </is>
      </c>
      <c r="E57" s="314" t="inlineStr">
        <is>
          <t>Formel: Summe der Einzelpositionen</t>
        </is>
      </c>
    </row>
    <row r="58" ht="15" customHeight="1">
      <c r="B58" s="406" t="inlineStr">
        <is>
          <t>Laufende Wartung gesamt</t>
        </is>
      </c>
      <c r="C58" s="336" t="n">
        <v>6000</v>
      </c>
      <c r="D58" s="406" t="inlineStr">
        <is>
          <t>€/Jahr</t>
        </is>
      </c>
      <c r="E58" s="406" t="inlineStr">
        <is>
          <t>Ersatzteile, Filter, Reparaturen</t>
        </is>
      </c>
    </row>
    <row r="59" ht="15" customHeight="1">
      <c r="B59" s="335" t="inlineStr">
        <is>
          <t>Verbrauchsmaterial gesamt</t>
        </is>
      </c>
      <c r="C59" s="336" t="n">
        <v>4800</v>
      </c>
      <c r="D59" s="314" t="inlineStr">
        <is>
          <t>€/Jahr</t>
        </is>
      </c>
      <c r="E59" s="314" t="inlineStr">
        <is>
          <t>Reinigung, Labor, Verpackung</t>
        </is>
      </c>
    </row>
    <row r="62" ht="15" customHeight="1">
      <c r="B62" s="325" t="inlineStr">
        <is>
          <t>7. B2B-PREISSZENARIEN (aus Marktanalyse)</t>
        </is>
      </c>
      <c r="C62" s="412" t="n"/>
      <c r="D62" s="412" t="n"/>
      <c r="E62" s="413" t="n"/>
    </row>
    <row r="63" ht="15" customHeight="1">
      <c r="B63" s="334" t="inlineStr">
        <is>
          <t>Parameter</t>
        </is>
      </c>
      <c r="C63" s="334" t="inlineStr">
        <is>
          <t>Wert</t>
        </is>
      </c>
      <c r="D63" s="334" t="inlineStr">
        <is>
          <t>Einheit</t>
        </is>
      </c>
      <c r="E63" s="334" t="inlineStr">
        <is>
          <t>Erläuterung</t>
        </is>
      </c>
    </row>
    <row r="64" ht="15" customHeight="1">
      <c r="B64" s="335" t="inlineStr">
        <is>
          <t>B2B Base Case (gew. Ø-Preis)</t>
        </is>
      </c>
      <c r="C64" s="336" t="n">
        <v>55</v>
      </c>
      <c r="D64" s="406" t="inlineStr">
        <is>
          <t>€/kg</t>
        </is>
      </c>
      <c r="E64" s="406" t="inlineStr">
        <is>
          <t>Realistischer Premium-Mix (30%Std+40%Prem+20%Gefr+10%BCW)</t>
        </is>
      </c>
    </row>
    <row r="65" ht="15" customHeight="1">
      <c r="B65" s="314" t="inlineStr">
        <is>
          <t>B2B Worst Case (Bear)</t>
        </is>
      </c>
      <c r="C65" s="336" t="n">
        <v>39</v>
      </c>
      <c r="D65" s="314" t="inlineStr">
        <is>
          <t>€/kg</t>
        </is>
      </c>
      <c r="E65" s="314" t="inlineStr">
        <is>
          <t>Konservativ, Standard-fokussiert (70%Std+20%Prem+10%Tab)</t>
        </is>
      </c>
    </row>
    <row r="66" ht="15" customHeight="1">
      <c r="B66" s="335" t="inlineStr">
        <is>
          <t>B2B Best Case (Bull)</t>
        </is>
      </c>
      <c r="C66" s="336" t="n">
        <v>63</v>
      </c>
      <c r="D66" s="406" t="inlineStr">
        <is>
          <t>€/kg</t>
        </is>
      </c>
      <c r="E66" s="406" t="inlineStr">
        <is>
          <t>Optimistisch, Premium+Nischen inkl. Kosmetik/Extrakt</t>
        </is>
      </c>
    </row>
    <row r="67" ht="15" customHeight="1">
      <c r="B67" s="314" t="inlineStr">
        <is>
          <t>Jährl. Preissteigerung B2B</t>
        </is>
      </c>
      <c r="C67" s="336" t="n">
        <v>0.025</v>
      </c>
      <c r="D67" s="314" t="inlineStr">
        <is>
          <t>%</t>
        </is>
      </c>
      <c r="E67" s="314" t="inlineStr">
        <is>
          <t>CAGR ~2,5% im Premium-Segment</t>
        </is>
      </c>
    </row>
    <row r="68" ht="15" customHeight="1">
      <c r="B68" s="335" t="inlineStr">
        <is>
          <t>Anteil Standard Pulver</t>
        </is>
      </c>
      <c r="C68" s="336" t="n">
        <v>0.3</v>
      </c>
      <c r="D68" s="406" t="inlineStr">
        <is>
          <t>%</t>
        </is>
      </c>
      <c r="E68" s="406" t="inlineStr">
        <is>
          <t>@32 €/kg (Spray-dried)</t>
        </is>
      </c>
    </row>
    <row r="69" ht="15" customHeight="1">
      <c r="B69" s="314" t="inlineStr">
        <is>
          <t>Preis Standard Pulver</t>
        </is>
      </c>
      <c r="C69" s="336" t="n">
        <v>32</v>
      </c>
      <c r="D69" s="314" t="inlineStr">
        <is>
          <t>€/kg</t>
        </is>
      </c>
      <c r="E69" s="314" t="inlineStr">
        <is>
          <t>μ=30, +10-15% EU-Qualität</t>
        </is>
      </c>
    </row>
    <row r="70" ht="15" customHeight="1">
      <c r="B70" s="335" t="inlineStr">
        <is>
          <t>Anteil Premium Pulver Bio</t>
        </is>
      </c>
      <c r="C70" s="336" t="n">
        <v>0.4</v>
      </c>
      <c r="D70" s="406" t="inlineStr">
        <is>
          <t>%</t>
        </is>
      </c>
      <c r="E70" s="406" t="inlineStr">
        <is>
          <t>@65 €/kg (Bio, EU)</t>
        </is>
      </c>
    </row>
    <row r="71" ht="15" customHeight="1">
      <c r="B71" s="314" t="inlineStr">
        <is>
          <t>Preis Premium Pulver Bio</t>
        </is>
      </c>
      <c r="C71" s="336" t="n">
        <v>65</v>
      </c>
      <c r="D71" s="314" t="inlineStr">
        <is>
          <t>€/kg</t>
        </is>
      </c>
      <c r="E71" s="314" t="inlineStr">
        <is>
          <t>μ=65, CI: 62-68</t>
        </is>
      </c>
    </row>
    <row r="72" ht="15" customHeight="1">
      <c r="B72" s="335" t="inlineStr">
        <is>
          <t>Anteil Gefriergetrocknet</t>
        </is>
      </c>
      <c r="C72" s="336" t="n">
        <v>0.2</v>
      </c>
      <c r="D72" s="406" t="inlineStr">
        <is>
          <t>%</t>
        </is>
      </c>
      <c r="E72" s="406" t="inlineStr">
        <is>
          <t>@60 €/kg</t>
        </is>
      </c>
    </row>
    <row r="73" ht="15" customHeight="1">
      <c r="B73" s="314" t="inlineStr">
        <is>
          <t>Preis Gefriergetrocknet</t>
        </is>
      </c>
      <c r="C73" s="336" t="n">
        <v>60</v>
      </c>
      <c r="D73" s="314" t="inlineStr">
        <is>
          <t>€/kg</t>
        </is>
      </c>
      <c r="E73" s="314" t="inlineStr">
        <is>
          <t>μ=60, CI: 58-62</t>
        </is>
      </c>
    </row>
    <row r="74" ht="15" customHeight="1">
      <c r="B74" s="335" t="inlineStr">
        <is>
          <t>Anteil Broken Cell Wall</t>
        </is>
      </c>
      <c r="C74" s="336" t="n">
        <v>0.1</v>
      </c>
      <c r="D74" s="406" t="inlineStr">
        <is>
          <t>%</t>
        </is>
      </c>
      <c r="E74" s="406" t="inlineStr">
        <is>
          <t>@75 €/kg</t>
        </is>
      </c>
    </row>
    <row r="75" ht="15" customHeight="1">
      <c r="B75" s="314" t="inlineStr">
        <is>
          <t>Preis Broken Cell Wall</t>
        </is>
      </c>
      <c r="C75" s="336" t="n">
        <v>75</v>
      </c>
      <c r="D75" s="314" t="inlineStr">
        <is>
          <t>€/kg</t>
        </is>
      </c>
      <c r="E75" s="314" t="inlineStr">
        <is>
          <t>μ=72, CI: 70-74</t>
        </is>
      </c>
    </row>
    <row r="76" ht="15" customHeight="1">
      <c r="B76" s="335" t="inlineStr">
        <is>
          <t>Gew. Ø-Preis (Kontrolle)</t>
        </is>
      </c>
      <c r="C76" s="416">
        <f>C68*C69+C70*C71+C72*C73+C74*C75</f>
        <v/>
      </c>
      <c r="D76" s="406" t="inlineStr">
        <is>
          <t>€/kg</t>
        </is>
      </c>
      <c r="E76" s="406" t="inlineStr">
        <is>
          <t>Formel: muss ~55 ergeben</t>
        </is>
      </c>
    </row>
    <row r="78" ht="15" customHeight="1">
      <c r="B78" s="326" t="inlineStr">
        <is>
          <t>8. ABSATZKANAL-ALLOKATION</t>
        </is>
      </c>
      <c r="C78" s="412" t="n"/>
      <c r="D78" s="412" t="n"/>
      <c r="E78" s="413" t="n"/>
    </row>
    <row r="79" ht="15" customHeight="1">
      <c r="B79" s="319" t="inlineStr">
        <is>
          <t>Parameter</t>
        </is>
      </c>
      <c r="C79" s="319" t="inlineStr">
        <is>
          <t>Wert</t>
        </is>
      </c>
      <c r="D79" s="319" t="inlineStr">
        <is>
          <t>Einheit</t>
        </is>
      </c>
      <c r="E79" s="319" t="inlineStr">
        <is>
          <t>Erläuterung</t>
        </is>
      </c>
    </row>
    <row r="80" ht="15" customHeight="1">
      <c r="B80" s="326" t="inlineStr">
        <is>
          <t>B2B-Anteil (Industrie/Großhandel)</t>
        </is>
      </c>
      <c r="C80" s="339" t="n">
        <v>0.7</v>
      </c>
      <c r="D80" s="326" t="inlineStr">
        <is>
          <t>%</t>
        </is>
      </c>
      <c r="E80" s="326" t="inlineStr">
        <is>
          <t>Anteil der Produktion für B2B-Vertrieb</t>
        </is>
      </c>
    </row>
    <row r="81" ht="15" customHeight="1">
      <c r="B81" s="326" t="inlineStr">
        <is>
          <t>B2C-Anteil (Endkunden/DTC/Retail)</t>
        </is>
      </c>
      <c r="C81" s="344">
        <f>1-C80</f>
        <v/>
      </c>
      <c r="D81" s="326" t="inlineStr">
        <is>
          <t>%</t>
        </is>
      </c>
      <c r="E81" s="326" t="inlineStr">
        <is>
          <t>Formel: =1 - B2B-Anteil</t>
        </is>
      </c>
    </row>
    <row r="82" ht="15" customHeight="1">
      <c r="B82" s="326" t="inlineStr">
        <is>
          <t>B2B-Absatzmenge</t>
        </is>
      </c>
      <c r="C82" s="327">
        <f>C11*C80</f>
        <v/>
      </c>
      <c r="D82" s="326" t="inlineStr">
        <is>
          <t>kg/Jahr</t>
        </is>
      </c>
      <c r="E82" s="326" t="inlineStr">
        <is>
          <t>Formel: Tats. Produktion × B2B-Anteil</t>
        </is>
      </c>
    </row>
    <row r="83" ht="15" customHeight="1">
      <c r="B83" s="326" t="inlineStr">
        <is>
          <t>B2C-Absatzmenge</t>
        </is>
      </c>
      <c r="C83" s="327">
        <f>C11*C81</f>
        <v/>
      </c>
      <c r="D83" s="326" t="inlineStr">
        <is>
          <t>kg/Jahr</t>
        </is>
      </c>
      <c r="E83" s="326" t="inlineStr">
        <is>
          <t>Formel: Tats. Produktion × B2C-Anteil</t>
        </is>
      </c>
    </row>
    <row r="84" ht="15" customHeight="1">
      <c r="B84" s="326" t="inlineStr">
        <is>
          <t>Mischpreis Base Case</t>
        </is>
      </c>
      <c r="C84" s="345">
        <f>C80*C120*C64+C80*C121*C127+C81*C90</f>
        <v/>
      </c>
      <c r="D84" s="326" t="inlineStr">
        <is>
          <t>€/kg</t>
        </is>
      </c>
      <c r="E84" s="326" t="inlineStr">
        <is>
          <t>Formel: B2B_Bulk%×B2B_Bulk + B2B_Retail%×Retail + B2C%×B2C</t>
        </is>
      </c>
    </row>
    <row r="85" ht="15" customHeight="1">
      <c r="B85" s="326" t="inlineStr">
        <is>
          <t>Mischpreis Worst Case</t>
        </is>
      </c>
      <c r="C85" s="345">
        <f>C80*C120*C65+C80*C121*C128+C81*C91</f>
        <v/>
      </c>
      <c r="D85" s="326" t="inlineStr">
        <is>
          <t>€/kg</t>
        </is>
      </c>
      <c r="E85" s="326" t="inlineStr">
        <is>
          <t>Formel: B2B_Bulk%×B2B_Worst + B2B_Retail%×Retail_Worst + B2C%×B2C_Worst</t>
        </is>
      </c>
    </row>
    <row r="86" ht="15" customHeight="1">
      <c r="B86" s="326" t="inlineStr">
        <is>
          <t>Mischpreis Best Case</t>
        </is>
      </c>
      <c r="C86" s="345">
        <f>C80*C120*C66+C80*C121*C129+C81*C92</f>
        <v/>
      </c>
      <c r="D86" s="326" t="inlineStr">
        <is>
          <t>€/kg</t>
        </is>
      </c>
      <c r="E86" s="326" t="inlineStr">
        <is>
          <t>Formel: B2B_Bulk%×B2B_Best + B2B_Retail%×Retail_Best + B2C%×B2C_Best</t>
        </is>
      </c>
    </row>
    <row r="88" ht="15" customHeight="1">
      <c r="B88" s="326" t="inlineStr">
        <is>
          <t>9. B2C-PREISSZENARIEN (aus Marktanalyse)</t>
        </is>
      </c>
      <c r="C88" s="412" t="n"/>
      <c r="D88" s="412" t="n"/>
      <c r="E88" s="413" t="n"/>
    </row>
    <row r="89" ht="15" customHeight="1">
      <c r="B89" s="319" t="inlineStr">
        <is>
          <t>Parameter</t>
        </is>
      </c>
      <c r="C89" s="319" t="inlineStr">
        <is>
          <t>Wert</t>
        </is>
      </c>
      <c r="D89" s="319" t="inlineStr">
        <is>
          <t>Einheit</t>
        </is>
      </c>
      <c r="E89" s="319" t="inlineStr">
        <is>
          <t>Erläuterung</t>
        </is>
      </c>
    </row>
    <row r="90" ht="15" customHeight="1">
      <c r="B90" s="326" t="inlineStr">
        <is>
          <t>B2C Base Case (gew. Ø-Preis)</t>
        </is>
      </c>
      <c r="C90" s="339" t="n">
        <v>184</v>
      </c>
      <c r="D90" s="326" t="inlineStr">
        <is>
          <t>€/kg</t>
        </is>
      </c>
      <c r="E90" s="326" t="inlineStr">
        <is>
          <t>60% DTC / 40% Retail, ausgewogener Mix</t>
        </is>
      </c>
    </row>
    <row r="91" ht="15" customHeight="1">
      <c r="B91" s="326" t="inlineStr">
        <is>
          <t>B2C Worst Case (Bear)</t>
        </is>
      </c>
      <c r="C91" s="339" t="n">
        <v>131</v>
      </c>
      <c r="D91" s="326" t="inlineStr">
        <is>
          <t>€/kg</t>
        </is>
      </c>
      <c r="E91" s="326" t="inlineStr">
        <is>
          <t>30% DTC / 70% Retail, Standardprodukte</t>
        </is>
      </c>
    </row>
    <row r="92" ht="15" customHeight="1">
      <c r="B92" s="326" t="inlineStr">
        <is>
          <t>B2C Best Case (Bull)</t>
        </is>
      </c>
      <c r="C92" s="339" t="n">
        <v>237</v>
      </c>
      <c r="D92" s="326" t="inlineStr">
        <is>
          <t>€/kg</t>
        </is>
      </c>
      <c r="E92" s="326" t="inlineStr">
        <is>
          <t>80% DTC / 20% Retail, Premium-Marke</t>
        </is>
      </c>
    </row>
    <row r="93" ht="15" customHeight="1">
      <c r="B93" s="326" t="inlineStr">
        <is>
          <t>Jährl. Preissteigerung B2C</t>
        </is>
      </c>
      <c r="C93" s="339" t="n">
        <v>0.025</v>
      </c>
      <c r="D93" s="326" t="inlineStr">
        <is>
          <t>%</t>
        </is>
      </c>
      <c r="E93" s="326" t="inlineStr">
        <is>
          <t>CAGR ~2,5% im Premium-Segment</t>
        </is>
      </c>
    </row>
    <row r="94" ht="15" customHeight="1">
      <c r="B94" s="326" t="inlineStr">
        <is>
          <t>Anteil Pulver (B2C)</t>
        </is>
      </c>
      <c r="C94" s="339" t="n">
        <v>0.4</v>
      </c>
      <c r="D94" s="326" t="inlineStr">
        <is>
          <t>%</t>
        </is>
      </c>
      <c r="E94" s="326" t="inlineStr">
        <is>
          <t>@169 €/kg (gew. DTC/Retail)</t>
        </is>
      </c>
    </row>
    <row r="95" ht="15" customHeight="1">
      <c r="B95" s="326" t="inlineStr">
        <is>
          <t>Preis Pulver (B2C)</t>
        </is>
      </c>
      <c r="C95" s="339" t="n">
        <v>169</v>
      </c>
      <c r="D95" s="326" t="inlineStr">
        <is>
          <t>€/kg</t>
        </is>
      </c>
      <c r="E95" s="326" t="inlineStr">
        <is>
          <t>60%DTC×185 + 40%Retail×145</t>
        </is>
      </c>
    </row>
    <row r="96" ht="15" customHeight="1">
      <c r="B96" s="326" t="inlineStr">
        <is>
          <t>Anteil Kapseln HPMC (B2C)</t>
        </is>
      </c>
      <c r="C96" s="339" t="n">
        <v>0.3</v>
      </c>
      <c r="D96" s="326" t="inlineStr">
        <is>
          <t>%</t>
        </is>
      </c>
      <c r="E96" s="326" t="inlineStr">
        <is>
          <t>@217 €/kg (gew. DTC/Retail)</t>
        </is>
      </c>
    </row>
    <row r="97" ht="15" customHeight="1">
      <c r="B97" s="326" t="inlineStr">
        <is>
          <t>Preis Kapseln HPMC (B2C)</t>
        </is>
      </c>
      <c r="C97" s="339" t="n">
        <v>217</v>
      </c>
      <c r="D97" s="326" t="inlineStr">
        <is>
          <t>€/kg</t>
        </is>
      </c>
      <c r="E97" s="326" t="inlineStr">
        <is>
          <t>60%DTC×245 + 40%Retail×175</t>
        </is>
      </c>
    </row>
    <row r="98" ht="15" customHeight="1">
      <c r="B98" s="326" t="inlineStr">
        <is>
          <t>Anteil Tabletten (B2C)</t>
        </is>
      </c>
      <c r="C98" s="339" t="n">
        <v>0.3</v>
      </c>
      <c r="D98" s="326" t="inlineStr">
        <is>
          <t>%</t>
        </is>
      </c>
      <c r="E98" s="326" t="inlineStr">
        <is>
          <t>@172 €/kg (gew. DTC/Retail)</t>
        </is>
      </c>
    </row>
    <row r="99" ht="15" customHeight="1">
      <c r="B99" s="326" t="inlineStr">
        <is>
          <t>Preis Tabletten (B2C)</t>
        </is>
      </c>
      <c r="C99" s="339" t="n">
        <v>172.2</v>
      </c>
      <c r="D99" s="326" t="inlineStr">
        <is>
          <t>€/kg</t>
        </is>
      </c>
      <c r="E99" s="326" t="inlineStr">
        <is>
          <t>60%DTC×195 + 40%Retail×138</t>
        </is>
      </c>
    </row>
    <row r="100" ht="15" customHeight="1">
      <c r="B100" s="326" t="inlineStr">
        <is>
          <t>Gew. Ø-Preis B2C (Kontrolle)</t>
        </is>
      </c>
      <c r="C100" s="346">
        <f>C94*C95+C96*C97+C98*C99</f>
        <v/>
      </c>
      <c r="D100" s="326" t="inlineStr">
        <is>
          <t>€/kg</t>
        </is>
      </c>
      <c r="E100" s="326" t="inlineStr">
        <is>
          <t>Formel: muss ~184 ergeben</t>
        </is>
      </c>
    </row>
    <row r="102" ht="15" customHeight="1">
      <c r="B102" s="326" t="inlineStr">
        <is>
          <t>10. BIOMASSEDICHTE-ENTWICKLUNG (Technologiesteigerung über 10 Jahre)</t>
        </is>
      </c>
      <c r="C102" s="412" t="n"/>
      <c r="D102" s="412" t="n"/>
      <c r="E102" s="413" t="n"/>
    </row>
    <row r="103" ht="15" customHeight="1">
      <c r="B103" s="319" t="inlineStr">
        <is>
          <t>Parameter</t>
        </is>
      </c>
      <c r="C103" s="319" t="inlineStr">
        <is>
          <t>Wert</t>
        </is>
      </c>
      <c r="D103" s="319" t="inlineStr">
        <is>
          <t>Einheit</t>
        </is>
      </c>
      <c r="E103" s="319" t="inlineStr">
        <is>
          <t>Erläuterung</t>
        </is>
      </c>
    </row>
    <row r="104" ht="15" customHeight="1">
      <c r="B104" s="326" t="inlineStr">
        <is>
          <t>Base Case Startwert (Jahr 1)</t>
        </is>
      </c>
      <c r="C104" s="339" t="n">
        <v>2.5</v>
      </c>
      <c r="D104" s="326" t="inlineStr">
        <is>
          <t>g/l</t>
        </is>
      </c>
      <c r="E104" s="326" t="inlineStr">
        <is>
          <t>Aktuelle Biomassedichte bei Ernte</t>
        </is>
      </c>
    </row>
    <row r="105" ht="15" customHeight="1">
      <c r="B105" s="326" t="inlineStr">
        <is>
          <t>Base Case Endwert (Jahr 10)</t>
        </is>
      </c>
      <c r="C105" s="339" t="n">
        <v>5</v>
      </c>
      <c r="D105" s="326" t="inlineStr">
        <is>
          <t>g/l</t>
        </is>
      </c>
      <c r="E105" s="326" t="inlineStr">
        <is>
          <t>Ziel durch F&amp;E-Optimierung der Wachstumsbedingungen</t>
        </is>
      </c>
    </row>
    <row r="106" ht="15" customHeight="1">
      <c r="B106" s="326" t="inlineStr">
        <is>
          <t>Worst Case Startwert (Jahr 1)</t>
        </is>
      </c>
      <c r="C106" s="339" t="n">
        <v>2.5</v>
      </c>
      <c r="D106" s="326" t="inlineStr">
        <is>
          <t>g/l</t>
        </is>
      </c>
      <c r="E106" s="326" t="inlineStr">
        <is>
          <t>Konservativ: gleicher Start</t>
        </is>
      </c>
    </row>
    <row r="107" ht="15" customHeight="1">
      <c r="B107" s="326" t="inlineStr">
        <is>
          <t>Worst Case Endwert (Jahr 10)</t>
        </is>
      </c>
      <c r="C107" s="339" t="n">
        <v>3.5</v>
      </c>
      <c r="D107" s="326" t="inlineStr">
        <is>
          <t>g/l</t>
        </is>
      </c>
      <c r="E107" s="326" t="inlineStr">
        <is>
          <t>Minimale Verbesserung, nur inkrementell</t>
        </is>
      </c>
    </row>
    <row r="108" ht="15" customHeight="1">
      <c r="B108" s="326" t="inlineStr">
        <is>
          <t>Best Case Startwert (Jahr 1)</t>
        </is>
      </c>
      <c r="C108" s="339" t="n">
        <v>2.5</v>
      </c>
      <c r="D108" s="326" t="inlineStr">
        <is>
          <t>g/l</t>
        </is>
      </c>
      <c r="E108" s="326" t="inlineStr">
        <is>
          <t>Gleicher Start</t>
        </is>
      </c>
    </row>
    <row r="109" ht="15" customHeight="1">
      <c r="B109" s="326" t="inlineStr">
        <is>
          <t>Best Case Endwert (Jahr 10)</t>
        </is>
      </c>
      <c r="C109" s="339" t="n">
        <v>7</v>
      </c>
      <c r="D109" s="326" t="inlineStr">
        <is>
          <t>g/l</t>
        </is>
      </c>
      <c r="E109" s="326" t="inlineStr">
        <is>
          <t>Optimistisch: Laborergebnisse auf Produktionsskala übertragbar</t>
        </is>
      </c>
    </row>
    <row r="110" ht="15" customHeight="1">
      <c r="B110" s="326" t="inlineStr">
        <is>
          <t>Jährl. Steigerung Base</t>
        </is>
      </c>
      <c r="C110" s="347">
        <f>(C105-C104)/9</f>
        <v/>
      </c>
      <c r="D110" s="326" t="inlineStr">
        <is>
          <t>g/l/Jahr</t>
        </is>
      </c>
      <c r="E110" s="326" t="inlineStr">
        <is>
          <t>Linear: (Endwert - Startwert) / 9</t>
        </is>
      </c>
    </row>
    <row r="111" ht="15" customHeight="1">
      <c r="B111" s="326" t="inlineStr">
        <is>
          <t>Jährl. Steigerung Worst</t>
        </is>
      </c>
      <c r="C111" s="347">
        <f>(C107-C106)/9</f>
        <v/>
      </c>
      <c r="D111" s="326" t="inlineStr">
        <is>
          <t>g/l/Jahr</t>
        </is>
      </c>
      <c r="E111" s="326" t="inlineStr">
        <is>
          <t>Linear: (Endwert - Startwert) / 9</t>
        </is>
      </c>
    </row>
    <row r="112" ht="15" customHeight="1">
      <c r="B112" s="326" t="inlineStr">
        <is>
          <t>Jährl. Steigerung Best</t>
        </is>
      </c>
      <c r="C112" s="347">
        <f>(C109-C108)/9</f>
        <v/>
      </c>
      <c r="D112" s="326" t="inlineStr">
        <is>
          <t>g/l/Jahr</t>
        </is>
      </c>
      <c r="E112" s="326" t="inlineStr">
        <is>
          <t>Linear: (Endwert - Startwert) / 9</t>
        </is>
      </c>
    </row>
    <row r="113" ht="15" customHeight="1">
      <c r="B113" s="326" t="inlineStr">
        <is>
          <t>Steigerungsart</t>
        </is>
      </c>
      <c r="C113" s="326" t="inlineStr">
        <is>
          <t>linear</t>
        </is>
      </c>
      <c r="E113" s="326" t="inlineStr">
        <is>
          <t>Lineare Interpolation zwischen Start und End</t>
        </is>
      </c>
    </row>
    <row r="115" ht="15" customHeight="1">
      <c r="B115" s="326" t="inlineStr">
        <is>
          <t>Kapazität Jahr 1 (Base)</t>
        </is>
      </c>
      <c r="C115" s="348">
        <f>C104*C8*C14/1000</f>
        <v/>
      </c>
      <c r="D115" s="326" t="inlineStr">
        <is>
          <t>kg/Jahr</t>
        </is>
      </c>
      <c r="E115" s="326" t="inlineStr">
        <is>
          <t>Biomasse×Volumen×Tage/1000</t>
        </is>
      </c>
    </row>
    <row r="116" ht="15" customHeight="1">
      <c r="B116" s="326" t="inlineStr">
        <is>
          <t>Kapazität Jahr 10 (Base)</t>
        </is>
      </c>
      <c r="C116" s="348">
        <f>C105*C8*C14/1000</f>
        <v/>
      </c>
      <c r="D116" s="326" t="inlineStr">
        <is>
          <t>kg/Jahr</t>
        </is>
      </c>
      <c r="E116" s="326" t="inlineStr">
        <is>
          <t>Verdopplung bei Verdopplung der Biomassedichte</t>
        </is>
      </c>
    </row>
    <row r="118" ht="15" customHeight="1">
      <c r="A118" s="115" t="n"/>
      <c r="B118" s="319" t="inlineStr">
        <is>
          <t>11. B2B KANAL-SPLIT (Bulk vs. Retail)</t>
        </is>
      </c>
      <c r="C118" s="115" t="n"/>
      <c r="D118" s="115" t="n"/>
      <c r="E118" s="115" t="n"/>
    </row>
    <row r="119" ht="15" customHeight="1">
      <c r="A119" s="417" t="inlineStr">
        <is>
          <t>Nr.</t>
        </is>
      </c>
      <c r="B119" s="350" t="inlineStr">
        <is>
          <t>Parameter</t>
        </is>
      </c>
      <c r="C119" s="350" t="inlineStr">
        <is>
          <t>Wert</t>
        </is>
      </c>
      <c r="D119" s="350" t="inlineStr">
        <is>
          <t>Einheit</t>
        </is>
      </c>
      <c r="E119" s="350" t="inlineStr">
        <is>
          <t>Erläuterung</t>
        </is>
      </c>
    </row>
    <row r="120" ht="15" customHeight="1">
      <c r="A120" s="117" t="n"/>
      <c r="B120" s="406" t="inlineStr">
        <is>
          <t>B2B Bulk-Anteil</t>
        </is>
      </c>
      <c r="C120" s="411" t="n">
        <v>0.8</v>
      </c>
      <c r="D120" s="406" t="inlineStr">
        <is>
          <t>%</t>
        </is>
      </c>
      <c r="E120" s="406" t="inlineStr">
        <is>
          <t>Anteil Bulk (Rohstoff/Pulver) am B2B-Umsatz</t>
        </is>
      </c>
    </row>
    <row r="121" ht="15" customHeight="1">
      <c r="A121" s="117" t="n"/>
      <c r="B121" s="314" t="inlineStr">
        <is>
          <t>B2B Retail-Anteil</t>
        </is>
      </c>
      <c r="C121" s="318">
        <f>1-C120</f>
        <v/>
      </c>
      <c r="D121" s="314" t="inlineStr">
        <is>
          <t>%</t>
        </is>
      </c>
      <c r="E121" s="314" t="inlineStr">
        <is>
          <t>Formel: 1 - Bulk-Anteil</t>
        </is>
      </c>
    </row>
    <row r="123" ht="15" customHeight="1">
      <c r="A123" s="117" t="n"/>
      <c r="B123" s="314" t="inlineStr">
        <is>
          <t>B2B Bulk-Menge (Jahr 1)</t>
        </is>
      </c>
      <c r="C123" s="323">
        <f>C82*C120</f>
        <v/>
      </c>
      <c r="D123" s="314" t="inlineStr">
        <is>
          <t>kg/Jahr</t>
        </is>
      </c>
      <c r="E123" s="314" t="inlineStr">
        <is>
          <t>B2B-Gesamtmenge × Bulk-Anteil</t>
        </is>
      </c>
    </row>
    <row r="124" ht="15" customHeight="1">
      <c r="A124" s="117" t="n"/>
      <c r="B124" s="406" t="inlineStr">
        <is>
          <t>B2B Retail-Menge (Jahr 1)</t>
        </is>
      </c>
      <c r="C124" s="410">
        <f>C82*C121</f>
        <v/>
      </c>
      <c r="D124" s="406" t="inlineStr">
        <is>
          <t>kg/Jahr</t>
        </is>
      </c>
      <c r="E124" s="406" t="inlineStr">
        <is>
          <t>B2B-Gesamtmenge × Retail-Anteil</t>
        </is>
      </c>
    </row>
    <row r="126" ht="15" customHeight="1">
      <c r="A126" s="117" t="n"/>
      <c r="B126" s="406" t="inlineStr">
        <is>
          <t>--- B2B Retail Preisszenarien ---</t>
        </is>
      </c>
      <c r="C126" s="117" t="n"/>
      <c r="D126" s="117" t="n"/>
      <c r="E126" s="117" t="n"/>
    </row>
    <row r="127" ht="15" customHeight="1">
      <c r="A127" s="117" t="n"/>
      <c r="B127" s="314" t="inlineStr">
        <is>
          <t>B2B Retail Base Case</t>
        </is>
      </c>
      <c r="C127" s="329" t="n">
        <v>153</v>
      </c>
      <c r="D127" s="314" t="inlineStr">
        <is>
          <t>€/kg</t>
        </is>
      </c>
      <c r="E127" s="314" t="inlineStr">
        <is>
          <t>VK an Handel (netto), Quelle: B2B Retail Preisanalyse</t>
        </is>
      </c>
    </row>
    <row r="128" ht="15" customHeight="1">
      <c r="A128" s="117" t="n"/>
      <c r="B128" s="406" t="inlineStr">
        <is>
          <t>B2B Retail Worst Case</t>
        </is>
      </c>
      <c r="C128" s="411" t="n">
        <v>120</v>
      </c>
      <c r="D128" s="406" t="inlineStr">
        <is>
          <t>€/kg</t>
        </is>
      </c>
      <c r="E128" s="406" t="inlineStr">
        <is>
          <t>Bear-Szenario: Drogerie-dominiert</t>
        </is>
      </c>
    </row>
    <row r="129" ht="15" customHeight="1">
      <c r="A129" s="117" t="n"/>
      <c r="B129" s="314" t="inlineStr">
        <is>
          <t>B2B Retail Best Case</t>
        </is>
      </c>
      <c r="C129" s="329" t="n">
        <v>180</v>
      </c>
      <c r="D129" s="314" t="inlineStr">
        <is>
          <t>€/kg</t>
        </is>
      </c>
      <c r="E129" s="314" t="inlineStr">
        <is>
          <t>Bull-Szenario: Apotheke-dominiert</t>
        </is>
      </c>
    </row>
    <row r="130" ht="15" customHeight="1">
      <c r="A130" s="117" t="n"/>
      <c r="B130" s="406" t="inlineStr">
        <is>
          <t>B2B Retail Preissteigerung p.a.</t>
        </is>
      </c>
      <c r="C130" s="411" t="n">
        <v>0.025</v>
      </c>
      <c r="D130" s="406" t="inlineStr">
        <is>
          <t>%/Jahr</t>
        </is>
      </c>
      <c r="E130" s="406" t="inlineStr">
        <is>
          <t>Analog B2B Bulk und B2C</t>
        </is>
      </c>
    </row>
    <row r="132" ht="15" customHeight="1">
      <c r="A132" s="117" t="n"/>
      <c r="B132" s="406" t="inlineStr">
        <is>
          <t>--- B2B Retail Produktmix ---</t>
        </is>
      </c>
      <c r="C132" s="117" t="n"/>
      <c r="D132" s="117" t="n"/>
      <c r="E132" s="117" t="n"/>
    </row>
    <row r="133" ht="15" customHeight="1">
      <c r="A133" s="117" t="n"/>
      <c r="B133" s="314" t="inlineStr">
        <is>
          <t>Kapseln 60 Apotheke</t>
        </is>
      </c>
      <c r="C133" s="329" t="n">
        <v>0.3</v>
      </c>
      <c r="D133" s="314" t="inlineStr">
        <is>
          <t>Anteil</t>
        </is>
      </c>
      <c r="E133" s="314" t="inlineStr">
        <is>
          <t>30% des Retail-Volumens</t>
        </is>
      </c>
    </row>
    <row r="134" ht="15" customHeight="1">
      <c r="A134" s="117" t="n"/>
      <c r="B134" s="406" t="inlineStr">
        <is>
          <t>Kapseln 120 Drogerie</t>
        </is>
      </c>
      <c r="C134" s="411" t="n">
        <v>0.2</v>
      </c>
      <c r="D134" s="406" t="inlineStr">
        <is>
          <t>Anteil</t>
        </is>
      </c>
      <c r="E134" s="406" t="inlineStr">
        <is>
          <t>20% des Retail-Volumens</t>
        </is>
      </c>
    </row>
    <row r="135" ht="15" customHeight="1">
      <c r="A135" s="117" t="n"/>
      <c r="B135" s="314" t="inlineStr">
        <is>
          <t>Tabletten 60 Apotheke</t>
        </is>
      </c>
      <c r="C135" s="329" t="n">
        <v>0.3</v>
      </c>
      <c r="D135" s="314" t="inlineStr">
        <is>
          <t>Anteil</t>
        </is>
      </c>
      <c r="E135" s="314" t="inlineStr">
        <is>
          <t>30% des Retail-Volumens</t>
        </is>
      </c>
    </row>
    <row r="136" ht="15" customHeight="1">
      <c r="A136" s="117" t="n"/>
      <c r="B136" s="406" t="inlineStr">
        <is>
          <t>Tabletten 120 Drogerie</t>
        </is>
      </c>
      <c r="C136" s="411" t="n">
        <v>0.2</v>
      </c>
      <c r="D136" s="406" t="inlineStr">
        <is>
          <t>Anteil</t>
        </is>
      </c>
      <c r="E136" s="406" t="inlineStr">
        <is>
          <t>20% des Retail-Volumens</t>
        </is>
      </c>
    </row>
    <row r="138" ht="15" customHeight="1">
      <c r="A138" s="115" t="n"/>
      <c r="B138" s="319" t="inlineStr">
        <is>
          <t>12. VERPACKUNGS- &amp; VERSANDKOSTEN</t>
        </is>
      </c>
      <c r="C138" s="115" t="n"/>
      <c r="D138" s="115" t="n"/>
      <c r="E138" s="115" t="n"/>
    </row>
    <row r="139" ht="15" customHeight="1">
      <c r="A139" s="417" t="inlineStr">
        <is>
          <t>Nr.</t>
        </is>
      </c>
      <c r="B139" s="350" t="inlineStr">
        <is>
          <t>Parameter</t>
        </is>
      </c>
      <c r="C139" s="350" t="inlineStr">
        <is>
          <t>Wert</t>
        </is>
      </c>
      <c r="D139" s="350" t="inlineStr">
        <is>
          <t>Einheit</t>
        </is>
      </c>
      <c r="E139" s="350" t="inlineStr">
        <is>
          <t>Erläuterung</t>
        </is>
      </c>
    </row>
    <row r="140" ht="23.25" customHeight="1">
      <c r="A140" s="117" t="n"/>
      <c r="B140" s="406" t="inlineStr">
        <is>
          <t>--- B2C Verpackung (pro Einheit, Base Case) ---</t>
        </is>
      </c>
      <c r="C140" s="117" t="n"/>
      <c r="D140" s="117" t="n"/>
      <c r="E140" s="117" t="n"/>
    </row>
    <row r="141" ht="15" customHeight="1">
      <c r="A141" s="117" t="n"/>
      <c r="B141" s="314" t="inlineStr">
        <is>
          <t>Pulver 250g - Verpackung</t>
        </is>
      </c>
      <c r="C141" s="329" t="n">
        <v>2.17</v>
      </c>
      <c r="D141" s="314" t="inlineStr">
        <is>
          <t>€/Einh.</t>
        </is>
      </c>
      <c r="E141" s="314" t="inlineStr">
        <is>
          <t>Standbodenbeutel + Etikett + Inlay</t>
        </is>
      </c>
    </row>
    <row r="142" ht="15" customHeight="1">
      <c r="A142" s="117" t="n"/>
      <c r="B142" s="406" t="inlineStr">
        <is>
          <t>Pulver 250g - Versand</t>
        </is>
      </c>
      <c r="C142" s="411" t="n">
        <v>4.35</v>
      </c>
      <c r="D142" s="406" t="inlineStr">
        <is>
          <t>€/Einh.</t>
        </is>
      </c>
      <c r="E142" s="406" t="inlineStr">
        <is>
          <t>DHL Päckchen/Paket</t>
        </is>
      </c>
    </row>
    <row r="143" ht="15" customHeight="1">
      <c r="A143" s="117" t="n"/>
      <c r="B143" s="314" t="inlineStr">
        <is>
          <t>Pulver 250g - Gesamt</t>
        </is>
      </c>
      <c r="C143" s="351">
        <f>C141+C142</f>
        <v/>
      </c>
      <c r="D143" s="314" t="inlineStr">
        <is>
          <t>€/Einh.</t>
        </is>
      </c>
      <c r="E143" s="314" t="inlineStr">
        <is>
          <t>Verpackung + Versand</t>
        </is>
      </c>
    </row>
    <row r="144" ht="15" customHeight="1">
      <c r="A144" s="117" t="n"/>
      <c r="B144" s="406" t="inlineStr">
        <is>
          <t>Kapseln 120 Stk - Verpackung</t>
        </is>
      </c>
      <c r="C144" s="411" t="n">
        <v>4.11</v>
      </c>
      <c r="D144" s="406" t="inlineStr">
        <is>
          <t>€/Einh.</t>
        </is>
      </c>
      <c r="E144" s="406" t="inlineStr">
        <is>
          <t>HDPE-Dose + Siegel + Karton</t>
        </is>
      </c>
    </row>
    <row r="145" ht="15" customHeight="1">
      <c r="A145" s="117" t="n"/>
      <c r="B145" s="314" t="inlineStr">
        <is>
          <t>Kapseln 120 Stk - Versand</t>
        </is>
      </c>
      <c r="C145" s="329" t="n">
        <v>4.52</v>
      </c>
      <c r="D145" s="314" t="inlineStr">
        <is>
          <t>€/Einh.</t>
        </is>
      </c>
      <c r="E145" s="314" t="inlineStr">
        <is>
          <t>DHL Paket</t>
        </is>
      </c>
    </row>
    <row r="146" ht="15" customHeight="1">
      <c r="A146" s="117" t="n"/>
      <c r="B146" s="406" t="inlineStr">
        <is>
          <t>Kapseln 120 Stk - Gesamt</t>
        </is>
      </c>
      <c r="C146" s="418">
        <f>C144+C145</f>
        <v/>
      </c>
      <c r="D146" s="406" t="inlineStr">
        <is>
          <t>€/Einh.</t>
        </is>
      </c>
      <c r="E146" s="406" t="inlineStr">
        <is>
          <t>Verpackung + Versand</t>
        </is>
      </c>
    </row>
    <row r="147" ht="15" customHeight="1">
      <c r="A147" s="117" t="n"/>
      <c r="B147" s="314" t="inlineStr">
        <is>
          <t>Presslinge 250 Stk - Verpackung</t>
        </is>
      </c>
      <c r="C147" s="329" t="n">
        <v>1.85</v>
      </c>
      <c r="D147" s="314" t="inlineStr">
        <is>
          <t>€/Einh.</t>
        </is>
      </c>
      <c r="E147" s="314" t="inlineStr">
        <is>
          <t>HDPE-Dose + Etikett</t>
        </is>
      </c>
    </row>
    <row r="148" ht="15" customHeight="1">
      <c r="A148" s="117" t="n"/>
      <c r="B148" s="406" t="inlineStr">
        <is>
          <t>Presslinge 250 Stk - Versand</t>
        </is>
      </c>
      <c r="C148" s="411" t="n">
        <v>4.35</v>
      </c>
      <c r="D148" s="406" t="inlineStr">
        <is>
          <t>€/Einh.</t>
        </is>
      </c>
      <c r="E148" s="406" t="inlineStr">
        <is>
          <t>DHL Päckchen</t>
        </is>
      </c>
    </row>
    <row r="149" ht="15" customHeight="1">
      <c r="A149" s="117" t="n"/>
      <c r="B149" s="314" t="inlineStr">
        <is>
          <t>Presslinge 250 Stk - Gesamt</t>
        </is>
      </c>
      <c r="C149" s="351">
        <f>C147+C148</f>
        <v/>
      </c>
      <c r="D149" s="314" t="inlineStr">
        <is>
          <t>€/Einh.</t>
        </is>
      </c>
      <c r="E149" s="314" t="inlineStr">
        <is>
          <t>Verpackung + Versand</t>
        </is>
      </c>
    </row>
    <row r="151" ht="15" customHeight="1">
      <c r="A151" s="117" t="n"/>
      <c r="B151" s="314" t="inlineStr">
        <is>
          <t>--- B2C Kosten pro kg (gewichtet) ---</t>
        </is>
      </c>
      <c r="C151" s="117" t="n"/>
      <c r="D151" s="117" t="n"/>
      <c r="E151" s="117" t="n"/>
    </row>
    <row r="152" ht="15" customHeight="1">
      <c r="A152" s="117" t="n"/>
      <c r="B152" s="406" t="inlineStr">
        <is>
          <t>Pulver: Einheiten pro kg</t>
        </is>
      </c>
      <c r="C152" s="411" t="n">
        <v>4</v>
      </c>
      <c r="D152" s="406" t="inlineStr">
        <is>
          <t>Einh./kg</t>
        </is>
      </c>
      <c r="E152" s="406" t="inlineStr">
        <is>
          <t>1 kg / 0.25 kg = 4 Einheiten</t>
        </is>
      </c>
    </row>
    <row r="153" ht="15" customHeight="1">
      <c r="A153" s="117" t="n"/>
      <c r="B153" s="314" t="inlineStr">
        <is>
          <t>Kapseln: Einheiten pro kg</t>
        </is>
      </c>
      <c r="C153" s="329" t="n">
        <v>16.67</v>
      </c>
      <c r="D153" s="314" t="inlineStr">
        <is>
          <t>Einh./kg</t>
        </is>
      </c>
      <c r="E153" s="314" t="inlineStr">
        <is>
          <t>Basierend auf ~0.5g/Kapsel → 120 Kapseln = 60g</t>
        </is>
      </c>
    </row>
    <row r="154" ht="15" customHeight="1">
      <c r="A154" s="117" t="n"/>
      <c r="B154" s="406" t="inlineStr">
        <is>
          <t>Presslinge: Einheiten pro kg</t>
        </is>
      </c>
      <c r="C154" s="411" t="n">
        <v>8</v>
      </c>
      <c r="D154" s="406" t="inlineStr">
        <is>
          <t>Einh./kg</t>
        </is>
      </c>
      <c r="E154" s="406" t="inlineStr">
        <is>
          <t>Basierend auf ~0.5g/Pressling → 250 = 125g</t>
        </is>
      </c>
    </row>
    <row r="155" ht="15" customHeight="1">
      <c r="A155" s="117" t="n"/>
      <c r="B155" s="314" t="inlineStr">
        <is>
          <t>Pulver Kosten/kg</t>
        </is>
      </c>
      <c r="C155" s="351">
        <f>C143*C152</f>
        <v/>
      </c>
      <c r="D155" s="314" t="inlineStr">
        <is>
          <t>€/kg</t>
        </is>
      </c>
      <c r="E155" s="314" t="inlineStr">
        <is>
          <t>Gesamt × Einheiten pro kg</t>
        </is>
      </c>
    </row>
    <row r="156" ht="15" customHeight="1">
      <c r="A156" s="117" t="n"/>
      <c r="B156" s="406" t="inlineStr">
        <is>
          <t>Kapseln Kosten/kg</t>
        </is>
      </c>
      <c r="C156" s="418">
        <f>C146*C153</f>
        <v/>
      </c>
      <c r="D156" s="406" t="inlineStr">
        <is>
          <t>€/kg</t>
        </is>
      </c>
      <c r="E156" s="406" t="inlineStr">
        <is>
          <t>Gesamt × Einheiten pro kg</t>
        </is>
      </c>
    </row>
    <row r="157" ht="15" customHeight="1">
      <c r="A157" s="117" t="n"/>
      <c r="B157" s="314" t="inlineStr">
        <is>
          <t>Presslinge Kosten/kg</t>
        </is>
      </c>
      <c r="C157" s="351">
        <f>C149*C154</f>
        <v/>
      </c>
      <c r="D157" s="314" t="inlineStr">
        <is>
          <t>€/kg</t>
        </is>
      </c>
      <c r="E157" s="314" t="inlineStr">
        <is>
          <t>Gesamt × Einheiten pro kg</t>
        </is>
      </c>
    </row>
    <row r="158" ht="15" customHeight="1">
      <c r="A158" s="117" t="n"/>
      <c r="B158" s="406" t="inlineStr">
        <is>
          <t>Gew. Ø B2C Verp.+Versand/kg</t>
        </is>
      </c>
      <c r="C158" s="352">
        <f>C155*C94+C156*C96+C157*C98</f>
        <v/>
      </c>
      <c r="D158" s="406" t="inlineStr">
        <is>
          <t>€/kg</t>
        </is>
      </c>
      <c r="E158" s="406" t="inlineStr">
        <is>
          <t>Gewichtet nach B2C-Produktmix</t>
        </is>
      </c>
    </row>
    <row r="160" ht="27.75" customHeight="1">
      <c r="A160" s="117" t="n"/>
      <c r="B160" s="406" t="inlineStr">
        <is>
          <t>--- B2B Retail Verpackung (pro Einheit, Base Case) ---</t>
        </is>
      </c>
      <c r="C160" s="117" t="n"/>
      <c r="D160" s="117" t="n"/>
      <c r="E160" s="117" t="n"/>
    </row>
    <row r="161" ht="15" customHeight="1">
      <c r="A161" s="117" t="n"/>
      <c r="B161" s="314" t="inlineStr">
        <is>
          <t>Kapseln 60 Apotheke - Gesamt</t>
        </is>
      </c>
      <c r="C161" s="329" t="n">
        <v>3.15</v>
      </c>
      <c r="D161" s="314" t="inlineStr">
        <is>
          <t>€/Einh.</t>
        </is>
      </c>
      <c r="E161" s="314" t="inlineStr">
        <is>
          <t>Verp. 2.21 + Logistik 0.94</t>
        </is>
      </c>
    </row>
    <row r="162" ht="15" customHeight="1">
      <c r="A162" s="117" t="n"/>
      <c r="B162" s="406" t="inlineStr">
        <is>
          <t>Kapseln 120 Drogerie - Gesamt</t>
        </is>
      </c>
      <c r="C162" s="411" t="n">
        <v>4.27</v>
      </c>
      <c r="D162" s="406" t="inlineStr">
        <is>
          <t>€/Einh.</t>
        </is>
      </c>
      <c r="E162" s="406" t="inlineStr">
        <is>
          <t>Verp. 3.79 + Logistik 0.48</t>
        </is>
      </c>
    </row>
    <row r="163" ht="15" customHeight="1">
      <c r="A163" s="117" t="n"/>
      <c r="B163" s="314" t="inlineStr">
        <is>
          <t>Tabletten 60 Apotheke - Gesamt</t>
        </is>
      </c>
      <c r="C163" s="329" t="n">
        <v>1.64</v>
      </c>
      <c r="D163" s="314" t="inlineStr">
        <is>
          <t>€/Einh.</t>
        </is>
      </c>
      <c r="E163" s="314" t="inlineStr">
        <is>
          <t>Verp. 1.18 + Logistik 0.46</t>
        </is>
      </c>
    </row>
    <row r="164" ht="15" customHeight="1">
      <c r="A164" s="117" t="n"/>
      <c r="B164" s="406" t="inlineStr">
        <is>
          <t>Tabletten 120 Drogerie - Gesamt</t>
        </is>
      </c>
      <c r="C164" s="411" t="n">
        <v>1.23</v>
      </c>
      <c r="D164" s="406" t="inlineStr">
        <is>
          <t>€/Einh.</t>
        </is>
      </c>
      <c r="E164" s="406" t="inlineStr">
        <is>
          <t>Verp. 0.95 + Logistik 0.28</t>
        </is>
      </c>
    </row>
    <row r="166" ht="15" customHeight="1">
      <c r="A166" s="117" t="n"/>
      <c r="B166" s="406" t="inlineStr">
        <is>
          <t>--- B2B Retail Kosten pro kg ---</t>
        </is>
      </c>
      <c r="C166" s="117" t="n"/>
      <c r="D166" s="117" t="n"/>
      <c r="E166" s="117" t="n"/>
    </row>
    <row r="167" ht="15" customHeight="1">
      <c r="A167" s="117" t="n"/>
      <c r="B167" s="314" t="inlineStr">
        <is>
          <t>Kapseln 60 Apo: Einh./kg</t>
        </is>
      </c>
      <c r="C167" s="329" t="n">
        <v>33.33</v>
      </c>
      <c r="D167" s="314" t="inlineStr">
        <is>
          <t>Einh./kg</t>
        </is>
      </c>
      <c r="E167" s="314" t="inlineStr">
        <is>
          <t>1kg / 0.03kg (60×0.5g=30g)</t>
        </is>
      </c>
    </row>
    <row r="168" ht="15" customHeight="1">
      <c r="A168" s="117" t="n"/>
      <c r="B168" s="406" t="inlineStr">
        <is>
          <t>Kapseln 120 Drogerie: Einh./kg</t>
        </is>
      </c>
      <c r="C168" s="411" t="n">
        <v>16.67</v>
      </c>
      <c r="D168" s="406" t="inlineStr">
        <is>
          <t>Einh./kg</t>
        </is>
      </c>
      <c r="E168" s="406" t="inlineStr">
        <is>
          <t>1kg / 0.06kg (120×0.5g=60g)</t>
        </is>
      </c>
    </row>
    <row r="169" ht="15" customHeight="1">
      <c r="A169" s="117" t="n"/>
      <c r="B169" s="314" t="inlineStr">
        <is>
          <t>Tabletten 60 Apo: Einh./kg</t>
        </is>
      </c>
      <c r="C169" s="329" t="n">
        <v>33.33</v>
      </c>
      <c r="D169" s="314" t="inlineStr">
        <is>
          <t>Einh./kg</t>
        </is>
      </c>
      <c r="E169" s="314" t="inlineStr">
        <is>
          <t>1kg / 0.03kg (60×0.5g=30g)</t>
        </is>
      </c>
    </row>
    <row r="170" ht="15" customHeight="1">
      <c r="A170" s="117" t="n"/>
      <c r="B170" s="406" t="inlineStr">
        <is>
          <t>Tabletten 120 Drogerie: Einh./kg</t>
        </is>
      </c>
      <c r="C170" s="411" t="n">
        <v>16.67</v>
      </c>
      <c r="D170" s="406" t="inlineStr">
        <is>
          <t>Einh./kg</t>
        </is>
      </c>
      <c r="E170" s="406" t="inlineStr">
        <is>
          <t>1kg / 0.06kg (120×0.5g=60g)</t>
        </is>
      </c>
    </row>
    <row r="171" ht="15" customHeight="1">
      <c r="A171" s="117" t="n"/>
      <c r="B171" s="314" t="inlineStr">
        <is>
          <t>Gew. Ø B2B Retail Verp./kg</t>
        </is>
      </c>
      <c r="C171" s="352">
        <f>C161*C167*C133+C162*C168*C134+C163*C169*C135+C164*C170*C136</f>
        <v/>
      </c>
      <c r="D171" s="314" t="inlineStr">
        <is>
          <t>€/kg</t>
        </is>
      </c>
      <c r="E171" s="314" t="inlineStr">
        <is>
          <t>Gewichtet nach B2B Retail Produktmix</t>
        </is>
      </c>
    </row>
    <row r="173" ht="23.25" customHeight="1">
      <c r="A173" s="117" t="n"/>
      <c r="B173" s="314" t="inlineStr">
        <is>
          <t>--- B2B Bulk Verpackung (pro kg, Base Case) ---</t>
        </is>
      </c>
      <c r="C173" s="117" t="n"/>
      <c r="D173" s="117" t="n"/>
      <c r="E173" s="117" t="n"/>
    </row>
    <row r="174" ht="15" customHeight="1">
      <c r="A174" s="117" t="n"/>
      <c r="B174" s="406" t="inlineStr">
        <is>
          <t>Big Bag 1000kg - Verpackung</t>
        </is>
      </c>
      <c r="C174" s="411" t="n">
        <v>0.008999999999999999</v>
      </c>
      <c r="D174" s="406" t="inlineStr">
        <is>
          <t>€/kg</t>
        </is>
      </c>
      <c r="E174" s="406" t="inlineStr">
        <is>
          <t>FIBC-Big Bag + Liner</t>
        </is>
      </c>
    </row>
    <row r="175" ht="15" customHeight="1">
      <c r="A175" s="117" t="n"/>
      <c r="B175" s="314" t="inlineStr">
        <is>
          <t>Big Bag 1000kg - Logistik</t>
        </is>
      </c>
      <c r="C175" s="329" t="n">
        <v>0.12</v>
      </c>
      <c r="D175" s="314" t="inlineStr">
        <is>
          <t>€/kg</t>
        </is>
      </c>
      <c r="E175" s="314" t="inlineStr">
        <is>
          <t>Spedition/Palette</t>
        </is>
      </c>
    </row>
    <row r="176" ht="15" customHeight="1">
      <c r="A176" s="117" t="n"/>
      <c r="B176" s="406" t="inlineStr">
        <is>
          <t>Big Bag 1000kg - Gesamt</t>
        </is>
      </c>
      <c r="C176" s="419">
        <f>C174+C175</f>
        <v/>
      </c>
      <c r="D176" s="406" t="inlineStr">
        <is>
          <t>€/kg</t>
        </is>
      </c>
      <c r="E176" s="406" t="inlineStr">
        <is>
          <t>Verpackung + Logistik</t>
        </is>
      </c>
    </row>
    <row r="177" ht="15" customHeight="1">
      <c r="A177" s="117" t="n"/>
      <c r="B177" s="314" t="inlineStr">
        <is>
          <t>25kg Kraftpapiersack</t>
        </is>
      </c>
      <c r="C177" s="329" t="n">
        <v>0.06</v>
      </c>
      <c r="D177" s="314" t="inlineStr">
        <is>
          <t>€/kg</t>
        </is>
      </c>
      <c r="E177" s="314" t="inlineStr">
        <is>
          <t>Inkl. PE-Liner</t>
        </is>
      </c>
    </row>
    <row r="178" ht="15" customHeight="1">
      <c r="A178" s="117" t="n"/>
      <c r="B178" s="406" t="inlineStr">
        <is>
          <t>Big Bag Anteil</t>
        </is>
      </c>
      <c r="C178" s="411" t="n">
        <v>0.8</v>
      </c>
      <c r="D178" s="406" t="inlineStr">
        <is>
          <t>Anteil</t>
        </is>
      </c>
      <c r="E178" s="406" t="inlineStr">
        <is>
          <t>80% Big Bag, 20% Sack</t>
        </is>
      </c>
    </row>
    <row r="179" ht="15" customHeight="1">
      <c r="A179" s="117" t="n"/>
      <c r="B179" s="314" t="inlineStr">
        <is>
          <t>Gew. Ø B2B Bulk Verp./kg</t>
        </is>
      </c>
      <c r="C179" s="354">
        <f>C176*C178+(1-C178)*C177</f>
        <v/>
      </c>
      <c r="D179" s="314" t="inlineStr">
        <is>
          <t>€/kg</t>
        </is>
      </c>
      <c r="E179" s="314" t="inlineStr">
        <is>
          <t>Gewichtet nach Verpackungsformat</t>
        </is>
      </c>
    </row>
    <row r="181" ht="15" customHeight="1">
      <c r="A181" s="117" t="n"/>
      <c r="B181" s="314" t="inlineStr">
        <is>
          <t>--- VerpackG / PPWR Lizenzkosten ---</t>
        </is>
      </c>
      <c r="C181" s="117" t="n"/>
      <c r="D181" s="117" t="n"/>
      <c r="E181" s="117" t="n"/>
    </row>
    <row r="182" ht="15" customHeight="1">
      <c r="A182" s="117" t="n"/>
      <c r="B182" s="406" t="inlineStr">
        <is>
          <t>VerpackG Jahresgebühr (geschätzt)</t>
        </is>
      </c>
      <c r="C182" s="411" t="n">
        <v>2368</v>
      </c>
      <c r="D182" s="406" t="inlineStr">
        <is>
          <t>€/Jahr</t>
        </is>
      </c>
      <c r="E182" s="406" t="inlineStr">
        <is>
          <t>LUCID-Register + Duales System</t>
        </is>
      </c>
    </row>
    <row r="183" ht="15" customHeight="1">
      <c r="A183" s="117" t="n"/>
      <c r="B183" s="314" t="inlineStr">
        <is>
          <t>VerpackG pro kg Produktion</t>
        </is>
      </c>
      <c r="C183" s="353">
        <f>C182/C11</f>
        <v/>
      </c>
      <c r="D183" s="314" t="inlineStr">
        <is>
          <t>€/kg</t>
        </is>
      </c>
      <c r="E183" s="314" t="inlineStr">
        <is>
          <t>Jahresgebühr / Gesamtproduktion</t>
        </is>
      </c>
    </row>
    <row r="184" ht="15" customHeight="1">
      <c r="A184" s="117" t="n"/>
      <c r="B184" s="406" t="inlineStr">
        <is>
          <t>PPWR-Aufschlag (ab 2030)</t>
        </is>
      </c>
      <c r="C184" s="411" t="n">
        <v>0.01</v>
      </c>
      <c r="D184" s="406" t="inlineStr">
        <is>
          <t>€/kg</t>
        </is>
      </c>
      <c r="E184" s="406" t="inlineStr">
        <is>
          <t>Erwarteter Zuschlag EU-Verpackungsverordnung</t>
        </is>
      </c>
    </row>
    <row r="186" ht="15" customHeight="1">
      <c r="A186" s="131" t="n"/>
      <c r="B186" s="350" t="inlineStr">
        <is>
          <t>ZUSAMMENFASSUNG VERPACKUNGSKOSTEN</t>
        </is>
      </c>
      <c r="C186" s="131" t="n"/>
      <c r="D186" s="131" t="n"/>
      <c r="E186" s="131" t="n"/>
    </row>
    <row r="187" ht="15" customHeight="1">
      <c r="A187" s="117" t="n"/>
      <c r="B187" s="314" t="inlineStr">
        <is>
          <t>Gew. Ø Gesamt Verp.+Versand/kg</t>
        </is>
      </c>
      <c r="C187" s="352">
        <f>C81*C158+C80*C121*C171+C80*C120*C179+C183</f>
        <v/>
      </c>
      <c r="D187" s="314" t="inlineStr">
        <is>
          <t>€/kg</t>
        </is>
      </c>
      <c r="E187" s="314" t="inlineStr">
        <is>
          <t>Über alle 3 Kanäle gewichtet + VerpackG</t>
        </is>
      </c>
    </row>
    <row r="188" ht="15" customHeight="1">
      <c r="A188" s="117" t="n"/>
      <c r="B188" s="406" t="inlineStr">
        <is>
          <t>B2C Anteil Verp.kosten</t>
        </is>
      </c>
      <c r="C188" s="418">
        <f>C158</f>
        <v/>
      </c>
      <c r="D188" s="406" t="inlineStr">
        <is>
          <t>€/kg</t>
        </is>
      </c>
      <c r="E188" s="406" t="inlineStr">
        <is>
          <t>Nur B2C-Kanal</t>
        </is>
      </c>
    </row>
    <row r="189" ht="15" customHeight="1">
      <c r="A189" s="117" t="n"/>
      <c r="B189" s="314" t="inlineStr">
        <is>
          <t>B2B Retail Anteil Verp.kosten</t>
        </is>
      </c>
      <c r="C189" s="351">
        <f>C171</f>
        <v/>
      </c>
      <c r="D189" s="314" t="inlineStr">
        <is>
          <t>€/kg</t>
        </is>
      </c>
      <c r="E189" s="314" t="inlineStr">
        <is>
          <t>Nur B2B Retail-Kanal</t>
        </is>
      </c>
    </row>
    <row r="190" ht="15" customHeight="1">
      <c r="A190" s="117" t="n"/>
      <c r="B190" s="406" t="inlineStr">
        <is>
          <t>B2B Bulk Anteil Verp.kosten</t>
        </is>
      </c>
      <c r="C190" s="419">
        <f>C179</f>
        <v/>
      </c>
      <c r="D190" s="406" t="inlineStr">
        <is>
          <t>€/kg</t>
        </is>
      </c>
      <c r="E190" s="406" t="inlineStr">
        <is>
          <t>Nur B2B Bulk-Kanal</t>
        </is>
      </c>
    </row>
    <row r="192" ht="15" customHeight="1">
      <c r="B192" s="406" t="inlineStr">
        <is>
          <t>13. RAMP-UP PROFIL (Hochlaufphase)</t>
        </is>
      </c>
    </row>
    <row r="193" ht="15" customHeight="1">
      <c r="B193" s="355" t="inlineStr">
        <is>
          <t>Parameter</t>
        </is>
      </c>
      <c r="C193" s="355" t="inlineStr">
        <is>
          <t>Wert</t>
        </is>
      </c>
      <c r="D193" s="355" t="inlineStr">
        <is>
          <t>Einheit</t>
        </is>
      </c>
      <c r="E193" s="355" t="inlineStr">
        <is>
          <t>Erläuterung</t>
        </is>
      </c>
    </row>
    <row r="194" ht="15" customHeight="1">
      <c r="B194" s="406" t="inlineStr">
        <is>
          <t>Ramp-up M1 (Januar)</t>
        </is>
      </c>
      <c r="C194" s="411" t="n">
        <v>0</v>
      </c>
      <c r="D194" s="406" t="inlineStr">
        <is>
          <t>%</t>
        </is>
      </c>
      <c r="E194" s="406" t="inlineStr">
        <is>
          <t>Keine Produktion (Inbetriebnahme/Commissioning)</t>
        </is>
      </c>
    </row>
    <row r="195" ht="15" customHeight="1">
      <c r="B195" s="314" t="inlineStr">
        <is>
          <t>Ramp-up M2 (Februar)</t>
        </is>
      </c>
      <c r="C195" s="329" t="n">
        <v>0</v>
      </c>
      <c r="D195" s="314" t="inlineStr">
        <is>
          <t>%</t>
        </is>
      </c>
      <c r="E195" s="314" t="inlineStr">
        <is>
          <t>Keine Produktion (Testläufe)</t>
        </is>
      </c>
    </row>
    <row r="196" ht="15" customHeight="1">
      <c r="B196" s="406" t="inlineStr">
        <is>
          <t>Ramp-up M3 (März)</t>
        </is>
      </c>
      <c r="C196" s="411" t="n">
        <v>0.1</v>
      </c>
      <c r="D196" s="406" t="inlineStr">
        <is>
          <t>%</t>
        </is>
      </c>
      <c r="E196" s="406" t="inlineStr">
        <is>
          <t>Erste Testproduktion, 10% Kapazität</t>
        </is>
      </c>
    </row>
    <row r="197" ht="15" customHeight="1">
      <c r="B197" s="314" t="inlineStr">
        <is>
          <t>Ramp-up M4 (April)</t>
        </is>
      </c>
      <c r="C197" s="329" t="n">
        <v>0.25</v>
      </c>
      <c r="D197" s="314" t="inlineStr">
        <is>
          <t>%</t>
        </is>
      </c>
      <c r="E197" s="314" t="inlineStr">
        <is>
          <t>Hochlauf auf 25%</t>
        </is>
      </c>
    </row>
    <row r="198" ht="15" customHeight="1">
      <c r="B198" s="406" t="inlineStr">
        <is>
          <t>Ramp-up M5 (Mai)</t>
        </is>
      </c>
      <c r="C198" s="411" t="n">
        <v>0.4</v>
      </c>
      <c r="D198" s="406" t="inlineStr">
        <is>
          <t>%</t>
        </is>
      </c>
      <c r="E198" s="406" t="inlineStr">
        <is>
          <t>Hochlauf auf 40%</t>
        </is>
      </c>
    </row>
    <row r="199" ht="15" customHeight="1">
      <c r="B199" s="314" t="inlineStr">
        <is>
          <t>Ramp-up M6 (Juni)</t>
        </is>
      </c>
      <c r="C199" s="329" t="n">
        <v>0.55</v>
      </c>
      <c r="D199" s="314" t="inlineStr">
        <is>
          <t>%</t>
        </is>
      </c>
      <c r="E199" s="314" t="inlineStr">
        <is>
          <t>Hochlauf auf 55%</t>
        </is>
      </c>
    </row>
    <row r="200" ht="15" customHeight="1">
      <c r="B200" s="406" t="inlineStr">
        <is>
          <t>Ramp-up M7 (Juli)</t>
        </is>
      </c>
      <c r="C200" s="411" t="n">
        <v>0.7</v>
      </c>
      <c r="D200" s="406" t="inlineStr">
        <is>
          <t>%</t>
        </is>
      </c>
      <c r="E200" s="406" t="inlineStr">
        <is>
          <t>Hochlauf auf 70%</t>
        </is>
      </c>
    </row>
    <row r="201" ht="15" customHeight="1">
      <c r="B201" s="314" t="inlineStr">
        <is>
          <t>Ramp-up M8 (August)</t>
        </is>
      </c>
      <c r="C201" s="329" t="n">
        <v>0.8</v>
      </c>
      <c r="D201" s="314" t="inlineStr">
        <is>
          <t>%</t>
        </is>
      </c>
      <c r="E201" s="314" t="inlineStr">
        <is>
          <t>Hochlauf auf 80%</t>
        </is>
      </c>
    </row>
    <row r="202" ht="15" customHeight="1">
      <c r="B202" s="406" t="inlineStr">
        <is>
          <t>Ramp-up M9 (September)</t>
        </is>
      </c>
      <c r="C202" s="411" t="n">
        <v>0.85</v>
      </c>
      <c r="D202" s="406" t="inlineStr">
        <is>
          <t>%</t>
        </is>
      </c>
      <c r="E202" s="406" t="inlineStr">
        <is>
          <t>Feinoptimierung, 85%</t>
        </is>
      </c>
    </row>
    <row r="203" ht="15" customHeight="1">
      <c r="B203" s="314" t="inlineStr">
        <is>
          <t>Ramp-up M10 (Oktober)</t>
        </is>
      </c>
      <c r="C203" s="329" t="n">
        <v>0.9</v>
      </c>
      <c r="D203" s="314" t="inlineStr">
        <is>
          <t>%</t>
        </is>
      </c>
      <c r="E203" s="314" t="inlineStr">
        <is>
          <t>Stabilisierung, 90%</t>
        </is>
      </c>
    </row>
    <row r="204" ht="15" customHeight="1">
      <c r="B204" s="406" t="inlineStr">
        <is>
          <t>Ramp-up M11 (November)</t>
        </is>
      </c>
      <c r="C204" s="411" t="n">
        <v>0.95</v>
      </c>
      <c r="D204" s="406" t="inlineStr">
        <is>
          <t>%</t>
        </is>
      </c>
      <c r="E204" s="406" t="inlineStr">
        <is>
          <t>Near-Vollauslastung, 95%</t>
        </is>
      </c>
    </row>
    <row r="205" ht="15" customHeight="1">
      <c r="B205" s="314" t="inlineStr">
        <is>
          <t>Ramp-up M12 (Dezember)</t>
        </is>
      </c>
      <c r="C205" s="329" t="n">
        <v>1</v>
      </c>
      <c r="D205" s="314" t="inlineStr">
        <is>
          <t>%</t>
        </is>
      </c>
      <c r="E205" s="314" t="inlineStr">
        <is>
          <t>Volle Kapazität erreicht</t>
        </is>
      </c>
    </row>
    <row r="206" ht="15" customHeight="1">
      <c r="B206" s="22" t="n"/>
    </row>
    <row r="207" ht="15" customHeight="1">
      <c r="B207" s="314" t="inlineStr">
        <is>
          <t>Jahr 2 Ramp-up (Monate 1-3)</t>
        </is>
      </c>
      <c r="C207" s="329" t="n">
        <v>0.95</v>
      </c>
      <c r="D207" s="314" t="inlineStr">
        <is>
          <t>%</t>
        </is>
      </c>
      <c r="E207" s="314" t="inlineStr">
        <is>
          <t>95% in den ersten 3 Monaten (Feinjustierung nach Wartungsperiode)</t>
        </is>
      </c>
    </row>
    <row r="208" ht="15" customHeight="1">
      <c r="B208" s="406" t="inlineStr">
        <is>
          <t>Jahr 2 Ramp-up (Monate 4+)</t>
        </is>
      </c>
      <c r="C208" s="411" t="n">
        <v>1</v>
      </c>
      <c r="D208" s="406" t="inlineStr">
        <is>
          <t>%</t>
        </is>
      </c>
      <c r="E208" s="406" t="inlineStr">
        <is>
          <t>Volle Kapazität ab Monat 4</t>
        </is>
      </c>
    </row>
    <row r="210" ht="15" customHeight="1">
      <c r="B210" s="406" t="inlineStr">
        <is>
          <t>14. ZUSÄTZLICHE STEUERUNGSPARAMETER</t>
        </is>
      </c>
    </row>
    <row r="211" ht="15" customHeight="1">
      <c r="B211" s="355" t="inlineStr">
        <is>
          <t>Parameter</t>
        </is>
      </c>
      <c r="C211" s="355" t="inlineStr">
        <is>
          <t>Wert</t>
        </is>
      </c>
      <c r="D211" s="355" t="inlineStr">
        <is>
          <t>Einheit</t>
        </is>
      </c>
      <c r="E211" s="355" t="inlineStr">
        <is>
          <t>Erläuterung</t>
        </is>
      </c>
    </row>
    <row r="212" ht="15" customHeight="1">
      <c r="B212" s="406" t="inlineStr">
        <is>
          <t>Personal-Skalierungsfaktor</t>
        </is>
      </c>
      <c r="C212" s="411" t="n">
        <v>0.4</v>
      </c>
      <c r="D212" s="406" t="inlineStr">
        <is>
          <t>Faktor</t>
        </is>
      </c>
      <c r="E212" s="406" t="inlineStr">
        <is>
          <t>40% Personalsteigerung bei 100% Kapazitätszuwachs (Economies of Scale)</t>
        </is>
      </c>
    </row>
    <row r="213" ht="15" customHeight="1">
      <c r="B213" s="314" t="inlineStr">
        <is>
          <t>Marketing-Basiskosten/Monat</t>
        </is>
      </c>
      <c r="C213" s="329" t="n">
        <v>1000</v>
      </c>
      <c r="D213" s="314" t="inlineStr">
        <is>
          <t>€/Monat</t>
        </is>
      </c>
      <c r="E213" s="314" t="inlineStr">
        <is>
          <t>Fixe monatliche Marketing-Grundkosten (CRM, Tools, Web)</t>
        </is>
      </c>
    </row>
    <row r="214" ht="15" customHeight="1">
      <c r="B214" s="406" t="inlineStr">
        <is>
          <t>Maintenance-CAPEX Rate</t>
        </is>
      </c>
      <c r="C214" s="411" t="n">
        <v>0.025</v>
      </c>
      <c r="D214" s="406" t="inlineStr">
        <is>
          <t>% der CAPEX</t>
        </is>
      </c>
      <c r="E214" s="406" t="inlineStr">
        <is>
          <t>2,5% der Initial-CAPEX p.a. ab Jahr 2 (Ersatzinvestitionen)</t>
        </is>
      </c>
    </row>
    <row r="215" ht="15" customHeight="1">
      <c r="B215" s="314" t="inlineStr">
        <is>
          <t>Steuersatz effektiv (KSt+SolZ+GewSt)</t>
        </is>
      </c>
      <c r="C215" s="329" t="n">
        <v>0.29825</v>
      </c>
      <c r="D215" s="314" t="inlineStr">
        <is>
          <t>%</t>
        </is>
      </c>
      <c r="E215" s="314" t="inlineStr">
        <is>
          <t>KSt 15% + SolZ 5,5% + GewSt ~14% = 29,825%</t>
        </is>
      </c>
    </row>
  </sheetData>
  <mergeCells count="12">
    <mergeCell ref="B40:E40"/>
    <mergeCell ref="B102:E102"/>
    <mergeCell ref="B1:E1"/>
    <mergeCell ref="B4:E4"/>
    <mergeCell ref="B88:E88"/>
    <mergeCell ref="B62:E62"/>
    <mergeCell ref="B78:E78"/>
    <mergeCell ref="B15:E15"/>
    <mergeCell ref="B25:E25"/>
    <mergeCell ref="B51:E51"/>
    <mergeCell ref="B2:E2"/>
    <mergeCell ref="B32:E32"/>
  </mergeCells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8.xml><?xml version="1.0" encoding="utf-8"?>
<worksheet xmlns="http://schemas.openxmlformats.org/spreadsheetml/2006/main">
  <sheetPr>
    <tabColor rgb="002D5A27"/>
    <outlinePr summaryBelow="1" summaryRight="1"/>
    <pageSetUpPr/>
  </sheetPr>
  <dimension ref="B1:G34"/>
  <sheetViews>
    <sheetView zoomScaleNormal="100" workbookViewId="0">
      <pane ySplit="1" topLeftCell="A2" activePane="bottomLeft" state="frozen"/>
      <selection pane="bottomLeft" activeCell="B1" sqref="B1"/>
      <selection pane="bottomLeft" activeCell="A4" sqref="A4"/>
      <selection pane="bottomRight" activeCell="B40" sqref="B40"/>
    </sheetView>
  </sheetViews>
  <sheetFormatPr baseColWidth="10" defaultColWidth="8.6640625" defaultRowHeight="15" customHeight="1"/>
  <cols>
    <col width="10" customWidth="1" min="1" max="1"/>
    <col width="30" customWidth="1" min="2" max="2"/>
    <col width="30" customWidth="1" min="3" max="3"/>
    <col width="15" customWidth="1" min="4" max="4"/>
    <col width="23" customWidth="1" min="5" max="6"/>
    <col width="27" customWidth="1" min="6" max="6"/>
    <col width="30" customWidth="1" min="7" max="7"/>
  </cols>
  <sheetData>
    <row r="1" ht="24" customHeight="1">
      <c r="B1" s="405" t="inlineStr">
        <is>
          <t>PHYOX BioGenesis (NovaVersum GmbH) – CAPEX &amp; Abschreibungen</t>
        </is>
      </c>
      <c r="C1" s="412" t="n"/>
      <c r="D1" s="412" t="n"/>
      <c r="E1" s="412" t="n"/>
      <c r="F1" s="412" t="n"/>
      <c r="G1" s="413" t="n"/>
    </row>
    <row r="2" ht="15" customHeight="1">
      <c r="B2" s="406" t="inlineStr">
        <is>
          <t>Investitionsstruktur und linearer Abschreibungsplan</t>
        </is>
      </c>
      <c r="C2" s="412" t="n"/>
      <c r="D2" s="412" t="n"/>
      <c r="E2" s="412" t="n"/>
      <c r="F2" s="412" t="n"/>
      <c r="G2" s="413" t="n"/>
    </row>
    <row r="3"/>
    <row r="4" ht="15.75" customHeight="1">
      <c r="B4" s="325" t="inlineStr">
        <is>
          <t>1. INVESTITIONSÜBERSICHT (CAPEX)</t>
        </is>
      </c>
      <c r="C4" s="412" t="n"/>
      <c r="D4" s="412" t="n"/>
      <c r="E4" s="412" t="n"/>
      <c r="F4" s="412" t="n"/>
      <c r="G4" s="413" t="n"/>
    </row>
    <row r="5" ht="15.75" customHeight="1">
      <c r="B5" s="334" t="inlineStr">
        <is>
          <t>CAPEX-Block</t>
        </is>
      </c>
      <c r="C5" s="334" t="inlineStr">
        <is>
          <t>Betrag (€)</t>
        </is>
      </c>
      <c r="D5" s="334" t="inlineStr">
        <is>
          <t>Anteil (%)</t>
        </is>
      </c>
      <c r="E5" s="334" t="inlineStr">
        <is>
          <t>Nutzungsdauer (Jahre)</t>
        </is>
      </c>
      <c r="F5" s="334" t="inlineStr">
        <is>
          <t>Abschreibung p.a. (€)</t>
        </is>
      </c>
      <c r="G5" s="334" t="inlineStr">
        <is>
          <t>Erläuterung</t>
        </is>
      </c>
    </row>
    <row r="6" ht="15" customHeight="1">
      <c r="B6" s="335" t="inlineStr">
        <is>
          <t>Bestandsgebäude + Infrastruktur inkl. PBR-System</t>
        </is>
      </c>
      <c r="C6" s="336" t="n">
        <v>2000000</v>
      </c>
      <c r="D6" s="409">
        <f>C6/C20</f>
        <v/>
      </c>
      <c r="E6" s="336" t="n">
        <v>25</v>
      </c>
      <c r="F6" s="415">
        <f>IF(E6&gt;0,C6/E6,0)</f>
        <v/>
      </c>
      <c r="G6" s="406" t="inlineStr">
        <is>
          <t>Gebäude, 11 PBR (je 10.000 L), Prozessinfrastruktur</t>
        </is>
      </c>
    </row>
    <row r="7" ht="15" customHeight="1">
      <c r="B7" s="314" t="inlineStr">
        <is>
          <t>Labor Hochend-Analytik + 3D-Mikroskop</t>
        </is>
      </c>
      <c r="C7" s="336" t="n">
        <v>600000</v>
      </c>
      <c r="D7" s="318">
        <f>C7/C20</f>
        <v/>
      </c>
      <c r="E7" s="336" t="n">
        <v>10</v>
      </c>
      <c r="F7" s="341">
        <f>IF(E7&gt;0,C7/E7,0)</f>
        <v/>
      </c>
      <c r="G7" s="314" t="inlineStr">
        <is>
          <t>HPLC, Spektralphotometer, Mikroskop, Sicherheitswerkbank</t>
        </is>
      </c>
    </row>
    <row r="8" ht="15" customHeight="1">
      <c r="B8" s="335" t="inlineStr">
        <is>
          <t>Mess- und Regeltechnik Endress+Hauser</t>
        </is>
      </c>
      <c r="C8" s="336" t="n">
        <v>300000</v>
      </c>
      <c r="D8" s="409">
        <f>C8/C20</f>
        <v/>
      </c>
      <c r="E8" s="336" t="n">
        <v>15</v>
      </c>
      <c r="F8" s="415">
        <f>IF(E8&gt;0,C8/E8,0)</f>
        <v/>
      </c>
      <c r="G8" s="406" t="inlineStr">
        <is>
          <t>pH, Temperatur, Trübung, O₂/CO₂, SCADA</t>
        </is>
      </c>
    </row>
    <row r="9" ht="15" customHeight="1">
      <c r="B9" s="314" t="inlineStr">
        <is>
          <t>PV-Anlage + Batteriespeicher + Netzanschluss</t>
        </is>
      </c>
      <c r="C9" s="336" t="n">
        <v>280000</v>
      </c>
      <c r="D9" s="318">
        <f>C9/C20</f>
        <v/>
      </c>
      <c r="E9" s="336" t="n">
        <v>20</v>
      </c>
      <c r="F9" s="341">
        <f>IF(E9&gt;0,C9/E9,0)</f>
        <v/>
      </c>
      <c r="G9" s="314" t="inlineStr">
        <is>
          <t>Ca. 200 kWp, Speicher, Netzbackup</t>
        </is>
      </c>
    </row>
    <row r="10" ht="15" customHeight="1">
      <c r="B10" s="335" t="inlineStr">
        <is>
          <t>Filtrationssystem Grünbeck (20.000 L/h)</t>
        </is>
      </c>
      <c r="C10" s="336" t="n">
        <v>180000</v>
      </c>
      <c r="D10" s="409">
        <f>C10/C20</f>
        <v/>
      </c>
      <c r="E10" s="336" t="n">
        <v>15</v>
      </c>
      <c r="F10" s="415">
        <f>IF(E10&gt;0,C10/E10,0)</f>
        <v/>
      </c>
      <c r="G10" s="406" t="inlineStr">
        <is>
          <t>Filtration, Entsalzung, Sterilfiltration</t>
        </is>
      </c>
    </row>
    <row r="11" ht="15" customHeight="1">
      <c r="B11" s="314" t="inlineStr">
        <is>
          <t>Lebensmittelkompressoren (Luft)</t>
        </is>
      </c>
      <c r="C11" s="336" t="n">
        <v>100000</v>
      </c>
      <c r="D11" s="318">
        <f>C11/C20</f>
        <v/>
      </c>
      <c r="E11" s="336" t="n">
        <v>10</v>
      </c>
      <c r="F11" s="341">
        <f>IF(E11&gt;0,C11/E11,0)</f>
        <v/>
      </c>
      <c r="G11" s="314" t="inlineStr">
        <is>
          <t>Prozessluft, Druckluft, Inertgas</t>
        </is>
      </c>
    </row>
    <row r="12" ht="15" customHeight="1">
      <c r="B12" s="335" t="inlineStr">
        <is>
          <t>Bandtrocknung</t>
        </is>
      </c>
      <c r="C12" s="336" t="n">
        <v>100000</v>
      </c>
      <c r="D12" s="409">
        <f>C12/C20</f>
        <v/>
      </c>
      <c r="E12" s="336" t="n">
        <v>10</v>
      </c>
      <c r="F12" s="415">
        <f>IF(E12&gt;0,C12/E12,0)</f>
        <v/>
      </c>
      <c r="G12" s="406" t="inlineStr">
        <is>
          <t>Hauptverfahren, energieeffizient</t>
        </is>
      </c>
    </row>
    <row r="13" ht="15" customHeight="1">
      <c r="B13" s="314" t="inlineStr">
        <is>
          <t>Puffer/Risiko</t>
        </is>
      </c>
      <c r="C13" s="336" t="n">
        <v>100000</v>
      </c>
      <c r="D13" s="318">
        <f>C13/C20</f>
        <v/>
      </c>
      <c r="E13" s="336" t="n">
        <v>10</v>
      </c>
      <c r="F13" s="341">
        <f>IF(E13&gt;0,C13/E13,0)</f>
        <v/>
      </c>
      <c r="G13" s="314" t="inlineStr">
        <is>
          <t>2,6% der Gesamtinvestition</t>
        </is>
      </c>
    </row>
    <row r="14" ht="15" customHeight="1">
      <c r="B14" s="335" t="inlineStr">
        <is>
          <t>Gefriertrocknung</t>
        </is>
      </c>
      <c r="C14" s="336" t="n">
        <v>80000</v>
      </c>
      <c r="D14" s="409">
        <f>C14/C20</f>
        <v/>
      </c>
      <c r="E14" s="336" t="n">
        <v>10</v>
      </c>
      <c r="F14" s="415">
        <f>IF(E14&gt;0,C14/E14,0)</f>
        <v/>
      </c>
      <c r="G14" s="406" t="inlineStr">
        <is>
          <t>Premium-Produkte, schonend</t>
        </is>
      </c>
    </row>
    <row r="15" ht="15" customHeight="1">
      <c r="B15" s="314" t="inlineStr">
        <is>
          <t>Verpackungstechnik (Bulk + Sack/Eimer)</t>
        </is>
      </c>
      <c r="C15" s="336" t="n">
        <v>50000</v>
      </c>
      <c r="D15" s="318">
        <f>C15/C20</f>
        <v/>
      </c>
      <c r="E15" s="336" t="n">
        <v>10</v>
      </c>
      <c r="F15" s="341">
        <f>IF(E15&gt;0,C15/E15,0)</f>
        <v/>
      </c>
      <c r="G15" s="314" t="inlineStr">
        <is>
          <t>Bulk, Sack, Eimer</t>
        </is>
      </c>
    </row>
    <row r="16" ht="15" customHeight="1">
      <c r="B16" s="335" t="inlineStr">
        <is>
          <t>Wasseraufbereitung Grünbeck (Bestand)</t>
        </is>
      </c>
      <c r="C16" s="336" t="n">
        <v>50000</v>
      </c>
      <c r="D16" s="409">
        <f>C16/C20</f>
        <v/>
      </c>
      <c r="E16" s="336" t="n">
        <v>15</v>
      </c>
      <c r="F16" s="415">
        <f>IF(E16&gt;0,C16/E16,0)</f>
        <v/>
      </c>
      <c r="G16" s="406" t="inlineStr">
        <is>
          <t>Prozess- und Produktwasser</t>
        </is>
      </c>
    </row>
    <row r="17" ht="15" customHeight="1">
      <c r="B17" s="314" t="inlineStr">
        <is>
          <t>Dörrofen (Bestand)</t>
        </is>
      </c>
      <c r="C17" s="336" t="n">
        <v>35000</v>
      </c>
      <c r="D17" s="318">
        <f>C17/C20</f>
        <v/>
      </c>
      <c r="E17" s="336" t="n">
        <v>10</v>
      </c>
      <c r="F17" s="341">
        <f>IF(E17&gt;0,C17/E17,0)</f>
        <v/>
      </c>
      <c r="G17" s="314" t="inlineStr">
        <is>
          <t>Bestand, Kleinchargen</t>
        </is>
      </c>
    </row>
    <row r="18" ht="15" customHeight="1">
      <c r="B18" s="335" t="inlineStr">
        <is>
          <t>Planung &amp; Engineering</t>
        </is>
      </c>
      <c r="C18" s="336" t="n">
        <v>30000</v>
      </c>
      <c r="D18" s="409">
        <f>C18/C20</f>
        <v/>
      </c>
      <c r="E18" s="336" t="n">
        <v>10</v>
      </c>
      <c r="F18" s="415">
        <f>IF(E18&gt;0,C18/E18,0)</f>
        <v/>
      </c>
      <c r="G18" s="406" t="inlineStr">
        <is>
          <t>Technische Planung</t>
        </is>
      </c>
    </row>
    <row r="19" ht="15" customHeight="1">
      <c r="B19" s="314" t="inlineStr">
        <is>
          <t>IT/LLM/Datenspeicher/8 Arbeitsplätze</t>
        </is>
      </c>
      <c r="C19" s="336" t="n">
        <v>20500</v>
      </c>
      <c r="D19" s="318">
        <f>C19/C20</f>
        <v/>
      </c>
      <c r="E19" s="336" t="n">
        <v>5</v>
      </c>
      <c r="F19" s="341">
        <f>IF(E19&gt;0,C19/E19,0)</f>
        <v/>
      </c>
      <c r="G19" s="314" t="inlineStr">
        <is>
          <t>Server, Hardware, ERP, LLM-Integration</t>
        </is>
      </c>
    </row>
    <row r="20" ht="15" customHeight="1">
      <c r="B20" s="326" t="inlineStr">
        <is>
          <t>SUMME CAPEX</t>
        </is>
      </c>
      <c r="C20" s="343">
        <f>SUM(C6:C19)</f>
        <v/>
      </c>
      <c r="D20" s="344">
        <f>SUM(D6:D19)</f>
        <v/>
      </c>
      <c r="E20" s="326" t="inlineStr">
        <is>
          <t>-</t>
        </is>
      </c>
      <c r="F20" s="343">
        <f>SUM(F6:F19)</f>
        <v/>
      </c>
      <c r="G20" s="326" t="inlineStr">
        <is>
          <t>Quelle: PHYOX interne Planung, Feb. 2026</t>
        </is>
      </c>
    </row>
    <row r="22" ht="15.75" customHeight="1">
      <c r="B22" s="325" t="inlineStr">
        <is>
          <t>2. FINANZIERUNGSSTRUKTUR</t>
        </is>
      </c>
      <c r="C22" s="412" t="n"/>
      <c r="D22" s="412" t="n"/>
      <c r="E22" s="412" t="n"/>
      <c r="F22" s="412" t="n"/>
      <c r="G22" s="413" t="n"/>
    </row>
    <row r="23" ht="15.75" customHeight="1">
      <c r="B23" s="334" t="inlineStr">
        <is>
          <t>Finanzierungsquelle</t>
        </is>
      </c>
      <c r="C23" s="334" t="inlineStr">
        <is>
          <t>Betrag (€)</t>
        </is>
      </c>
      <c r="D23" s="334" t="inlineStr">
        <is>
          <t>Anteil (%)</t>
        </is>
      </c>
      <c r="E23" s="81" t="n"/>
      <c r="F23" s="334" t="inlineStr">
        <is>
          <t>Konditionen</t>
        </is>
      </c>
      <c r="G23" s="81" t="n"/>
    </row>
    <row r="24" ht="15" customHeight="1">
      <c r="B24" s="335" t="inlineStr">
        <is>
          <t>Eigenkapital</t>
        </is>
      </c>
      <c r="C24" s="415">
        <f>CAPEX!C20*Annahmen!C42</f>
        <v/>
      </c>
      <c r="D24" s="409">
        <f>Annahmen!C42</f>
        <v/>
      </c>
      <c r="E24" s="147" t="n"/>
      <c r="F24" s="406" t="inlineStr">
        <is>
          <t>Gründer + Business Angels</t>
        </is>
      </c>
      <c r="G24" s="147" t="n"/>
    </row>
    <row r="25" ht="15" customHeight="1">
      <c r="B25" s="314" t="inlineStr">
        <is>
          <t>Bankdarlehen</t>
        </is>
      </c>
      <c r="C25" s="341">
        <f>CAPEX!C20*Annahmen!C43</f>
        <v/>
      </c>
      <c r="D25" s="318">
        <f>Annahmen!C43</f>
        <v/>
      </c>
      <c r="E25" s="147" t="n"/>
      <c r="F25" s="314" t="inlineStr">
        <is>
          <t>4,5% p.a., 10 Jahre</t>
        </is>
      </c>
      <c r="G25" s="147" t="n"/>
    </row>
    <row r="26" ht="15" customHeight="1">
      <c r="B26" s="335" t="inlineStr">
        <is>
          <t>Fördermittel/Zuschüsse</t>
        </is>
      </c>
      <c r="C26" s="415">
        <f>CAPEX!C20*Annahmen!C44</f>
        <v/>
      </c>
      <c r="D26" s="409">
        <f>Annahmen!C44</f>
        <v/>
      </c>
      <c r="E26" s="147" t="n"/>
      <c r="F26" s="406" t="inlineStr">
        <is>
          <t>Non-dilutive Zuschüsse</t>
        </is>
      </c>
      <c r="G26" s="147" t="n"/>
    </row>
    <row r="27" ht="15" customHeight="1">
      <c r="B27" s="314" t="inlineStr">
        <is>
          <t>KfW/Impact-Invest</t>
        </is>
      </c>
      <c r="C27" s="341">
        <f>CAPEX!C20*Annahmen!C45</f>
        <v/>
      </c>
      <c r="D27" s="318">
        <f>Annahmen!C45</f>
        <v/>
      </c>
      <c r="E27" s="147" t="n"/>
      <c r="F27" s="314" t="inlineStr">
        <is>
          <t>7,5% p.a., 5 Jahre</t>
        </is>
      </c>
      <c r="G27" s="147" t="n"/>
    </row>
    <row r="28" ht="15" customHeight="1">
      <c r="B28" s="326" t="inlineStr">
        <is>
          <t>SUMME</t>
        </is>
      </c>
      <c r="C28" s="343">
        <f>SUM(C24:C27)</f>
        <v/>
      </c>
      <c r="D28" s="344">
        <f>SUM(D24:D27)</f>
        <v/>
      </c>
      <c r="E28" s="149" t="n"/>
      <c r="F28" s="149" t="n"/>
      <c r="G28" s="149" t="n"/>
    </row>
    <row r="30" ht="15.75" customHeight="1">
      <c r="B30" s="325" t="inlineStr">
        <is>
          <t>3. KENNZAHLEN ABSCHREIBUNGEN</t>
        </is>
      </c>
      <c r="C30" s="412" t="n"/>
      <c r="D30" s="412" t="n"/>
      <c r="E30" s="412" t="n"/>
      <c r="F30" s="412" t="n"/>
      <c r="G30" s="413" t="n"/>
    </row>
    <row r="31" ht="15" customHeight="1">
      <c r="B31" s="335" t="inlineStr">
        <is>
          <t>Jährliche Gesamtabschreibung</t>
        </is>
      </c>
      <c r="C31" s="341">
        <f>F20</f>
        <v/>
      </c>
      <c r="D31" s="151" t="n"/>
      <c r="E31" s="151" t="n"/>
      <c r="F31" s="151" t="n"/>
      <c r="G31" s="151" t="n"/>
    </row>
    <row r="32" ht="15" customHeight="1">
      <c r="B32" s="406" t="inlineStr">
        <is>
          <t>Abschreibung pro kg (bei Vollauslastung)</t>
        </is>
      </c>
      <c r="C32" s="416">
        <f>F20/Annahmen!C9</f>
        <v/>
      </c>
      <c r="D32" s="147" t="n"/>
      <c r="E32" s="147" t="n"/>
      <c r="F32" s="147" t="n"/>
      <c r="G32" s="147" t="n"/>
    </row>
    <row r="33" ht="15" customHeight="1">
      <c r="B33" s="335" t="inlineStr">
        <is>
          <t>Abschreibung pro kg (bei tats. Auslastung)</t>
        </is>
      </c>
      <c r="C33" s="340">
        <f>F20/Annahmen!C11</f>
        <v/>
      </c>
      <c r="D33" s="151" t="n"/>
      <c r="E33" s="151" t="n"/>
      <c r="F33" s="151" t="n"/>
      <c r="G33" s="151" t="n"/>
    </row>
    <row r="34" ht="15" customHeight="1">
      <c r="B34" s="406" t="inlineStr">
        <is>
          <t>Gewichtete Ø Nutzungsdauer</t>
        </is>
      </c>
      <c r="C34" s="420">
        <f>SUMPRODUCT(C6:C19,E6:E19)/C20</f>
        <v/>
      </c>
      <c r="D34" s="147" t="n"/>
      <c r="E34" s="147" t="n"/>
      <c r="F34" s="147" t="n"/>
      <c r="G34" s="147" t="n"/>
    </row>
  </sheetData>
  <mergeCells count="5">
    <mergeCell ref="B2:G2"/>
    <mergeCell ref="B22:G22"/>
    <mergeCell ref="B1:G1"/>
    <mergeCell ref="B4:G4"/>
    <mergeCell ref="B30:G30"/>
  </mergeCells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xl/worksheets/sheet9.xml><?xml version="1.0" encoding="utf-8"?>
<worksheet xmlns="http://schemas.openxmlformats.org/spreadsheetml/2006/main">
  <sheetPr>
    <tabColor rgb="0000D4FF"/>
    <outlinePr summaryBelow="1" summaryRight="1"/>
    <pageSetUpPr/>
  </sheetPr>
  <dimension ref="B1:F42"/>
  <sheetViews>
    <sheetView zoomScaleNormal="100" workbookViewId="0">
      <pane ySplit="1" topLeftCell="A2" activePane="bottomLeft" state="frozen"/>
      <selection pane="bottomLeft" activeCell="B1" sqref="B1"/>
      <selection pane="bottomLeft" activeCell="A4" sqref="A4"/>
      <selection pane="bottomRight" activeCell="A1" sqref="A1"/>
    </sheetView>
  </sheetViews>
  <sheetFormatPr baseColWidth="10" defaultColWidth="8.6640625" defaultRowHeight="15" customHeight="1"/>
  <cols>
    <col width="10" customWidth="1" min="1" max="1"/>
    <col width="30" customWidth="1" min="2" max="2"/>
    <col width="18" customWidth="1" min="3" max="5"/>
    <col width="22" customWidth="1" min="4" max="4"/>
    <col width="19" customWidth="1" min="5" max="5"/>
    <col width="30" customWidth="1" min="6" max="6"/>
  </cols>
  <sheetData>
    <row r="1" ht="24" customHeight="1">
      <c r="B1" s="405" t="inlineStr">
        <is>
          <t>PHYOX BioGenesis (NovaVersum GmbH) – OPEX Fix (Fixe Betriebskosten)</t>
        </is>
      </c>
      <c r="C1" s="412" t="n"/>
      <c r="D1" s="412" t="n"/>
      <c r="E1" s="412" t="n"/>
      <c r="F1" s="413" t="n"/>
    </row>
    <row r="2" ht="15" customHeight="1">
      <c r="B2" s="406" t="inlineStr">
        <is>
          <t>Personalkosten + Fixe Betriebskosten (unabhängig von Produktionsmenge)</t>
        </is>
      </c>
      <c r="C2" s="412" t="n"/>
      <c r="D2" s="412" t="n"/>
      <c r="E2" s="412" t="n"/>
      <c r="F2" s="413" t="n"/>
    </row>
    <row r="3"/>
    <row r="4" ht="15" customHeight="1">
      <c r="B4" s="325" t="inlineStr">
        <is>
          <t>A. PERSONALKOSTEN</t>
        </is>
      </c>
      <c r="C4" s="412" t="n"/>
      <c r="D4" s="412" t="n"/>
      <c r="E4" s="412" t="n"/>
      <c r="F4" s="413" t="n"/>
    </row>
    <row r="5" ht="15" customHeight="1">
      <c r="B5" s="334" t="inlineStr">
        <is>
          <t>Funktion</t>
        </is>
      </c>
      <c r="C5" s="334" t="inlineStr">
        <is>
          <t>Jahresgehalt (€)</t>
        </is>
      </c>
      <c r="D5" s="334" t="inlineStr">
        <is>
          <t>Anteil (%)</t>
        </is>
      </c>
      <c r="E5" s="334" t="inlineStr">
        <is>
          <t>Kosten/kg (€)</t>
        </is>
      </c>
      <c r="F5" s="334" t="inlineStr">
        <is>
          <t>Beschreibung</t>
        </is>
      </c>
    </row>
    <row r="6" ht="15" customHeight="1">
      <c r="B6" s="335" t="inlineStr">
        <is>
          <t>CEO EU</t>
        </is>
      </c>
      <c r="C6" s="336" t="n">
        <v>100000</v>
      </c>
      <c r="D6" s="357">
        <f>C6/C14</f>
        <v/>
      </c>
      <c r="E6" s="358">
        <f>C6/Annahmen!C11</f>
        <v/>
      </c>
      <c r="F6" s="335" t="inlineStr">
        <is>
          <t>Geschäftsführung, Strategie</t>
        </is>
      </c>
    </row>
    <row r="7" ht="15" customHeight="1">
      <c r="B7" s="314" t="inlineStr">
        <is>
          <t>Produktionsleiter/Senior</t>
        </is>
      </c>
      <c r="C7" s="336" t="n">
        <v>85000</v>
      </c>
      <c r="D7" s="318">
        <f>C7/C14</f>
        <v/>
      </c>
      <c r="E7" s="359">
        <f>C7/Annahmen!C11</f>
        <v/>
      </c>
      <c r="F7" s="314" t="inlineStr">
        <is>
          <t>Betriebsführung, Prozessoptimierung</t>
        </is>
      </c>
    </row>
    <row r="8" ht="15" customHeight="1">
      <c r="B8" s="335" t="inlineStr">
        <is>
          <t>Automation Data Engineer</t>
        </is>
      </c>
      <c r="C8" s="336" t="n">
        <v>55000</v>
      </c>
      <c r="D8" s="357">
        <f>C8/C14</f>
        <v/>
      </c>
      <c r="E8" s="358">
        <f>C8/Annahmen!C11</f>
        <v/>
      </c>
      <c r="F8" s="335" t="inlineStr">
        <is>
          <t>Prozessautomation, Datenanalyse</t>
        </is>
      </c>
    </row>
    <row r="9" ht="15" customHeight="1">
      <c r="B9" s="314" t="inlineStr">
        <is>
          <t>Lab &amp; QA Officer</t>
        </is>
      </c>
      <c r="C9" s="336" t="n">
        <v>41000</v>
      </c>
      <c r="D9" s="318">
        <f>C9/C14</f>
        <v/>
      </c>
      <c r="E9" s="359">
        <f>C9/Annahmen!C11</f>
        <v/>
      </c>
      <c r="F9" s="314" t="inlineStr">
        <is>
          <t>Qualitätssicherung, Analytik</t>
        </is>
      </c>
    </row>
    <row r="10" ht="15" customHeight="1">
      <c r="B10" s="335" t="inlineStr">
        <is>
          <t>QA-Prozess (0,5 Stelle)</t>
        </is>
      </c>
      <c r="C10" s="336" t="n">
        <v>35000</v>
      </c>
      <c r="D10" s="357">
        <f>C10/C14</f>
        <v/>
      </c>
      <c r="E10" s="358">
        <f>C10/Annahmen!C11</f>
        <v/>
      </c>
      <c r="F10" s="335" t="inlineStr">
        <is>
          <t>Zusätzliche QS-Kapazität</t>
        </is>
      </c>
    </row>
    <row r="11" ht="15" customHeight="1">
      <c r="B11" s="314" t="inlineStr">
        <is>
          <t>Maintenance &amp; Facility</t>
        </is>
      </c>
      <c r="C11" s="336" t="n">
        <v>35000</v>
      </c>
      <c r="D11" s="318">
        <f>C11/C14</f>
        <v/>
      </c>
      <c r="E11" s="359">
        <f>C11/Annahmen!C11</f>
        <v/>
      </c>
      <c r="F11" s="314" t="inlineStr">
        <is>
          <t>Wartung, Instandhaltung</t>
        </is>
      </c>
    </row>
    <row r="12" ht="15" customHeight="1">
      <c r="B12" s="335" t="inlineStr">
        <is>
          <t>Regulatory extern</t>
        </is>
      </c>
      <c r="C12" s="336" t="n">
        <v>25000</v>
      </c>
      <c r="D12" s="357">
        <f>C12/C14</f>
        <v/>
      </c>
      <c r="E12" s="358">
        <f>C12/Annahmen!C11</f>
        <v/>
      </c>
      <c r="F12" s="335" t="inlineStr">
        <is>
          <t>Zulassungen, Compliance</t>
        </is>
      </c>
    </row>
    <row r="13" ht="15" customHeight="1">
      <c r="B13" s="314" t="inlineStr">
        <is>
          <t>Operations Admin extern</t>
        </is>
      </c>
      <c r="C13" s="336" t="n">
        <v>25000</v>
      </c>
      <c r="D13" s="318">
        <f>C13/C14</f>
        <v/>
      </c>
      <c r="E13" s="359">
        <f>C13/Annahmen!C11</f>
        <v/>
      </c>
      <c r="F13" s="314" t="inlineStr">
        <is>
          <t>Betriebsadministration</t>
        </is>
      </c>
    </row>
    <row r="14" ht="15" customHeight="1">
      <c r="B14" s="326" t="inlineStr">
        <is>
          <t>SUMME PERSONAL</t>
        </is>
      </c>
      <c r="C14" s="343">
        <f>SUM(C6:C13)</f>
        <v/>
      </c>
      <c r="D14" s="344">
        <f>SUM(D6:D13)</f>
        <v/>
      </c>
      <c r="E14" s="360">
        <f>C14/Annahmen!C11</f>
        <v/>
      </c>
      <c r="F14" s="326" t="inlineStr">
        <is>
          <t>Kernteam: 5,5 VZÄ + 2 externe Funktionen</t>
        </is>
      </c>
    </row>
    <row r="16" ht="15" customHeight="1">
      <c r="B16" s="325" t="inlineStr">
        <is>
          <t>B. FIXE BETRIEBSKOSTEN (ohne Personal)</t>
        </is>
      </c>
      <c r="C16" s="412" t="n"/>
      <c r="D16" s="412" t="n"/>
      <c r="E16" s="412" t="n"/>
      <c r="F16" s="413" t="n"/>
    </row>
    <row r="17" ht="15" customHeight="1">
      <c r="B17" s="334" t="inlineStr">
        <is>
          <t>Position</t>
        </is>
      </c>
      <c r="C17" s="334" t="inlineStr">
        <is>
          <t>Jahr (€)</t>
        </is>
      </c>
      <c r="D17" s="334" t="inlineStr">
        <is>
          <t>Anteil (%)</t>
        </is>
      </c>
      <c r="E17" s="334" t="inlineStr">
        <is>
          <t>Kosten/kg (€)</t>
        </is>
      </c>
      <c r="F17" s="334" t="inlineStr">
        <is>
          <t>Bemerkung</t>
        </is>
      </c>
    </row>
    <row r="18" ht="15" customHeight="1">
      <c r="B18" s="335" t="inlineStr">
        <is>
          <t>Energie gesamt</t>
        </is>
      </c>
      <c r="C18" s="361">
        <f>Annahmen!C22</f>
        <v/>
      </c>
      <c r="D18" s="357">
        <f>C18/C26</f>
        <v/>
      </c>
      <c r="E18" s="358">
        <f>C18/Annahmen!C11</f>
        <v/>
      </c>
      <c r="F18" s="335" t="inlineStr">
        <is>
          <t>Prozessenergie, Beleuchtung, Klima</t>
        </is>
      </c>
    </row>
    <row r="19" ht="15" customHeight="1">
      <c r="B19" s="314" t="inlineStr">
        <is>
          <t>Service/Wartung E+H/Grünbeck</t>
        </is>
      </c>
      <c r="C19" s="336" t="n">
        <v>7000</v>
      </c>
      <c r="D19" s="318">
        <f>C19/C26</f>
        <v/>
      </c>
      <c r="E19" s="359">
        <f>C19/Annahmen!C11</f>
        <v/>
      </c>
      <c r="F19" s="314" t="inlineStr">
        <is>
          <t>Wartungsverträge Messtechnik</t>
        </is>
      </c>
    </row>
    <row r="20" ht="15" customHeight="1">
      <c r="B20" s="335" t="inlineStr">
        <is>
          <t>Telekommunikation</t>
        </is>
      </c>
      <c r="C20" s="336" t="n">
        <v>7200</v>
      </c>
      <c r="D20" s="357">
        <f>C20/C26</f>
        <v/>
      </c>
      <c r="E20" s="358">
        <f>C20/Annahmen!C11</f>
        <v/>
      </c>
      <c r="F20" s="335" t="inlineStr">
        <is>
          <t>Internet, Telefon, Daten</t>
        </is>
      </c>
    </row>
    <row r="21" ht="15" customHeight="1">
      <c r="B21" s="314" t="inlineStr">
        <is>
          <t>Wasser/Heizung/Müll</t>
        </is>
      </c>
      <c r="C21" s="336" t="n">
        <v>6000</v>
      </c>
      <c r="D21" s="318">
        <f>C21/C26</f>
        <v/>
      </c>
      <c r="E21" s="359">
        <f>C21/Annahmen!C11</f>
        <v/>
      </c>
      <c r="F21" s="314" t="inlineStr">
        <is>
          <t>Betriebsnebenkosten</t>
        </is>
      </c>
    </row>
    <row r="22" ht="15" customHeight="1">
      <c r="B22" s="335" t="inlineStr">
        <is>
          <t>Versicherungen/Steuer/Jura/Notar</t>
        </is>
      </c>
      <c r="C22" s="336" t="n">
        <v>8400</v>
      </c>
      <c r="D22" s="357">
        <f>C22/C26</f>
        <v/>
      </c>
      <c r="E22" s="358">
        <f>C22/Annahmen!C11</f>
        <v/>
      </c>
      <c r="F22" s="335" t="inlineStr">
        <is>
          <t>Betriebshaftpflicht, Rechtsberatung</t>
        </is>
      </c>
    </row>
    <row r="23" ht="15" customHeight="1">
      <c r="B23" s="314" t="inlineStr">
        <is>
          <t>IT-Softwarelizenzen</t>
        </is>
      </c>
      <c r="C23" s="336" t="n">
        <v>5000</v>
      </c>
      <c r="D23" s="318">
        <f>C23/C26</f>
        <v/>
      </c>
      <c r="E23" s="359">
        <f>C23/Annahmen!C11</f>
        <v/>
      </c>
      <c r="F23" s="314" t="inlineStr">
        <is>
          <t>ERP, MES, Office</t>
        </is>
      </c>
    </row>
    <row r="24" ht="15" customHeight="1">
      <c r="B24" s="335" t="inlineStr">
        <is>
          <t>Büro-/Lager-Software</t>
        </is>
      </c>
      <c r="C24" s="336" t="n">
        <v>1800</v>
      </c>
      <c r="D24" s="357">
        <f>C24/C26</f>
        <v/>
      </c>
      <c r="E24" s="358">
        <f>C24/Annahmen!C11</f>
        <v/>
      </c>
      <c r="F24" s="335" t="inlineStr">
        <is>
          <t>Spezialanwendungen</t>
        </is>
      </c>
    </row>
    <row r="25" ht="15" customHeight="1">
      <c r="B25" s="314" t="inlineStr">
        <is>
          <t>Bankgebühren</t>
        </is>
      </c>
      <c r="C25" s="336" t="n">
        <v>1200</v>
      </c>
      <c r="D25" s="318">
        <f>C25/C26</f>
        <v/>
      </c>
      <c r="E25" s="359">
        <f>C25/Annahmen!C11</f>
        <v/>
      </c>
      <c r="F25" s="314" t="inlineStr">
        <is>
          <t>Kontoführung, Transaktionen</t>
        </is>
      </c>
    </row>
    <row r="26" ht="15" customHeight="1">
      <c r="B26" s="326" t="inlineStr">
        <is>
          <t>SUMME BETRIEB FIX</t>
        </is>
      </c>
      <c r="C26" s="343">
        <f>SUM(C18:C25)</f>
        <v/>
      </c>
      <c r="D26" s="344">
        <f>SUM(D18:D25)</f>
        <v/>
      </c>
      <c r="E26" s="360">
        <f>C26/Annahmen!C11</f>
        <v/>
      </c>
      <c r="F26" s="326" t="inlineStr">
        <is>
          <t>Quelle: PHYOX Kostenplanung, Feb. 2026</t>
        </is>
      </c>
    </row>
    <row r="28" ht="15" customHeight="1">
      <c r="B28" s="325" t="inlineStr">
        <is>
          <t>C. ZUSAMMENFASSUNG OPEX FIX</t>
        </is>
      </c>
      <c r="C28" s="412" t="n"/>
      <c r="D28" s="412" t="n"/>
      <c r="E28" s="412" t="n"/>
      <c r="F28" s="413" t="n"/>
    </row>
    <row r="29" ht="15" customHeight="1">
      <c r="B29" s="334" t="inlineStr">
        <is>
          <t>Fixkosten-Block</t>
        </is>
      </c>
      <c r="C29" s="334" t="inlineStr">
        <is>
          <t>Jahr (€)</t>
        </is>
      </c>
      <c r="D29" s="334" t="inlineStr">
        <is>
          <t>Anteil (%)</t>
        </is>
      </c>
      <c r="E29" s="334" t="inlineStr">
        <is>
          <t>Kosten/kg (€)</t>
        </is>
      </c>
      <c r="F29" s="81" t="n"/>
    </row>
    <row r="30" ht="15" customHeight="1">
      <c r="B30" s="335" t="inlineStr">
        <is>
          <t>Personal fix</t>
        </is>
      </c>
      <c r="C30" s="361">
        <f>C14</f>
        <v/>
      </c>
      <c r="D30" s="357">
        <f>C30/C32</f>
        <v/>
      </c>
      <c r="E30" s="358">
        <f>E14</f>
        <v/>
      </c>
      <c r="F30" s="156" t="n"/>
    </row>
    <row r="31" ht="15" customHeight="1">
      <c r="B31" s="314" t="inlineStr">
        <is>
          <t>Betrieb fix</t>
        </is>
      </c>
      <c r="C31" s="341">
        <f>C26</f>
        <v/>
      </c>
      <c r="D31" s="318">
        <f>C31/C32</f>
        <v/>
      </c>
      <c r="E31" s="359">
        <f>E26</f>
        <v/>
      </c>
      <c r="F31" s="85" t="n"/>
    </row>
    <row r="32" ht="15" customHeight="1">
      <c r="B32" s="326" t="inlineStr">
        <is>
          <t>SUMME OPEX FIX</t>
        </is>
      </c>
      <c r="C32" s="343">
        <f>C30+C31</f>
        <v/>
      </c>
      <c r="D32" s="344">
        <f>C32/C32</f>
        <v/>
      </c>
      <c r="E32" s="360">
        <f>C32/Annahmen!C11</f>
        <v/>
      </c>
      <c r="F32" s="160" t="n"/>
    </row>
    <row r="34" ht="15" customHeight="1">
      <c r="B34" s="325" t="inlineStr">
        <is>
          <t>D. FIXKOSTENDEGRESSION NACH AUSLASTUNG</t>
        </is>
      </c>
      <c r="C34" s="412" t="n"/>
      <c r="D34" s="412" t="n"/>
      <c r="E34" s="412" t="n"/>
      <c r="F34" s="413" t="n"/>
    </row>
    <row r="35" ht="15" customHeight="1">
      <c r="B35" s="334" t="inlineStr">
        <is>
          <t>Auslastung</t>
        </is>
      </c>
      <c r="C35" s="334" t="inlineStr">
        <is>
          <t>Menge (kg)</t>
        </is>
      </c>
      <c r="D35" s="334" t="inlineStr">
        <is>
          <t>Fixkosten gesamt (€)</t>
        </is>
      </c>
      <c r="E35" s="334" t="inlineStr">
        <is>
          <t>Fixkosten/kg (€)</t>
        </is>
      </c>
      <c r="F35" s="81" t="n"/>
    </row>
    <row r="36" ht="15" customHeight="1">
      <c r="B36" s="362" t="n">
        <v>0.6</v>
      </c>
      <c r="C36" s="363">
        <f>Annahmen!C9*B36</f>
        <v/>
      </c>
      <c r="D36" s="361">
        <f>C32+CAPEX!F20</f>
        <v/>
      </c>
      <c r="E36" s="358">
        <f>D36/C36</f>
        <v/>
      </c>
      <c r="F36" s="156" t="n"/>
    </row>
    <row r="37" ht="15" customHeight="1">
      <c r="B37" s="329" t="n">
        <v>0.7</v>
      </c>
      <c r="C37" s="337">
        <f>Annahmen!C9*B37</f>
        <v/>
      </c>
      <c r="D37" s="341">
        <f>C32+CAPEX!F20</f>
        <v/>
      </c>
      <c r="E37" s="359">
        <f>D37/C37</f>
        <v/>
      </c>
      <c r="F37" s="85" t="n"/>
    </row>
    <row r="38" ht="15" customHeight="1">
      <c r="B38" s="362" t="n">
        <v>0.8</v>
      </c>
      <c r="C38" s="363">
        <f>Annahmen!C9*B38</f>
        <v/>
      </c>
      <c r="D38" s="361">
        <f>C32+CAPEX!F20</f>
        <v/>
      </c>
      <c r="E38" s="358">
        <f>D38/C38</f>
        <v/>
      </c>
      <c r="F38" s="156" t="n"/>
    </row>
    <row r="39" ht="15" customHeight="1">
      <c r="B39" s="329" t="n">
        <v>0.9</v>
      </c>
      <c r="C39" s="337">
        <f>Annahmen!C9*B39</f>
        <v/>
      </c>
      <c r="D39" s="341">
        <f>C32+CAPEX!F20</f>
        <v/>
      </c>
      <c r="E39" s="359">
        <f>D39/C39</f>
        <v/>
      </c>
      <c r="F39" s="85" t="n"/>
    </row>
    <row r="40" ht="15" customHeight="1">
      <c r="B40" s="362" t="n">
        <v>1</v>
      </c>
      <c r="C40" s="363">
        <f>Annahmen!C9*B40</f>
        <v/>
      </c>
      <c r="D40" s="361">
        <f>C32+CAPEX!F20</f>
        <v/>
      </c>
      <c r="E40" s="358">
        <f>D40/C40</f>
        <v/>
      </c>
      <c r="F40" s="156" t="n"/>
    </row>
    <row r="42" ht="15" customHeight="1">
      <c r="B42" s="406" t="inlineStr">
        <is>
          <t>Skaleneffekt: Jede 10% Steigerung der Auslastung reduziert Fixkosten/kg um ca. 10%</t>
        </is>
      </c>
      <c r="C42" s="412" t="n"/>
      <c r="D42" s="412" t="n"/>
      <c r="E42" s="412" t="n"/>
      <c r="F42" s="413" t="n"/>
    </row>
  </sheetData>
  <mergeCells count="7">
    <mergeCell ref="B4:F4"/>
    <mergeCell ref="B2:F2"/>
    <mergeCell ref="B34:F34"/>
    <mergeCell ref="B16:F16"/>
    <mergeCell ref="B42:F42"/>
    <mergeCell ref="B28:F28"/>
    <mergeCell ref="B1:F1"/>
  </mergeCells>
  <printOptions horizontalCentered="0"/>
  <pageMargins left="0.5" right="0.5" top="0.75" bottom="0.75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2026-02-25T00:59:03Z</dcterms:created>
  <dcterms:modified xmlns:dcterms="http://purl.org/dc/terms/" xmlns:xsi="http://www.w3.org/2001/XMLSchema-instance" xsi:type="dcterms:W3CDTF">2026-03-16T19:15:01Z</dcterms:modified>
  <cp:lastModifiedBy>Daniel Huber</cp:lastModifiedBy>
  <cp:revision>0</cp:revision>
</cp:coreProperties>
</file>